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Z8" i="1"/>
  <c r="Y8"/>
  <c r="X8"/>
  <c r="W8"/>
  <c r="V8"/>
  <c r="P8"/>
  <c r="O8"/>
  <c r="N8"/>
  <c r="F8"/>
  <c r="E8"/>
  <c r="D8"/>
  <c r="N3"/>
  <c r="O3" s="1"/>
  <c r="N6"/>
  <c r="O6" s="1"/>
  <c r="P6" s="1"/>
  <c r="N5"/>
  <c r="D5"/>
  <c r="W5"/>
  <c r="Y5" s="1"/>
  <c r="W2"/>
  <c r="W3"/>
  <c r="W4"/>
  <c r="Y4" s="1"/>
  <c r="W6"/>
  <c r="W7"/>
  <c r="V5"/>
  <c r="X5" s="1"/>
  <c r="V4"/>
  <c r="X4" s="1"/>
  <c r="V2"/>
  <c r="X2" s="1"/>
  <c r="V3"/>
  <c r="X3" s="1"/>
  <c r="V6"/>
  <c r="X6" s="1"/>
  <c r="V7"/>
  <c r="X7" s="1"/>
  <c r="I2"/>
  <c r="N4"/>
  <c r="P4"/>
  <c r="N2"/>
  <c r="O2" s="1"/>
  <c r="Y2" s="1"/>
  <c r="N7"/>
  <c r="O7" s="1"/>
  <c r="P5"/>
  <c r="I3"/>
  <c r="I4"/>
  <c r="I5"/>
  <c r="I6"/>
  <c r="I7"/>
  <c r="Z2" l="1"/>
  <c r="Z4"/>
  <c r="P2"/>
  <c r="P7"/>
  <c r="Y7"/>
  <c r="Z7" s="1"/>
  <c r="Y6"/>
  <c r="Z6" s="1"/>
  <c r="P3"/>
  <c r="Y3"/>
  <c r="Z3" s="1"/>
  <c r="Z5"/>
</calcChain>
</file>

<file path=xl/sharedStrings.xml><?xml version="1.0" encoding="utf-8"?>
<sst xmlns="http://schemas.openxmlformats.org/spreadsheetml/2006/main" count="45" uniqueCount="32">
  <si>
    <t>№ ТП</t>
  </si>
  <si>
    <t>№ цеха</t>
  </si>
  <si>
    <t>Рр, кВт</t>
  </si>
  <si>
    <t>Qр, квар</t>
  </si>
  <si>
    <t>Sр, кВА</t>
  </si>
  <si>
    <t>Fц, м2</t>
  </si>
  <si>
    <t>Тип тр-ра</t>
  </si>
  <si>
    <t>Sэт, кВА</t>
  </si>
  <si>
    <t>Sнт, кВА</t>
  </si>
  <si>
    <t>βдоп</t>
  </si>
  <si>
    <t>σ, кВА/м2</t>
  </si>
  <si>
    <t>Q1р, квар</t>
  </si>
  <si>
    <t>Q1, квар</t>
  </si>
  <si>
    <t>Qнк=Qр-Q1</t>
  </si>
  <si>
    <t>βн/βав</t>
  </si>
  <si>
    <t>ΔРх, кВт</t>
  </si>
  <si>
    <t>Iх, %</t>
  </si>
  <si>
    <t>Uк, %</t>
  </si>
  <si>
    <t>ΔРт, кВт</t>
  </si>
  <si>
    <t>ΔQт, квар</t>
  </si>
  <si>
    <t>Sт, кВА</t>
  </si>
  <si>
    <t>II</t>
  </si>
  <si>
    <t>ТМ</t>
  </si>
  <si>
    <t>0,8/1,6</t>
  </si>
  <si>
    <t>0,617/1,234</t>
  </si>
  <si>
    <t>ΔРк, кВт</t>
  </si>
  <si>
    <t>Qт=Q1+ΔQт, квар</t>
  </si>
  <si>
    <t>Рт=Рр+ΔРт, кВт</t>
  </si>
  <si>
    <t>Кол-во тр-ов</t>
  </si>
  <si>
    <t>Кат потр</t>
  </si>
  <si>
    <t>0,64/1,28</t>
  </si>
  <si>
    <t>Итого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</si>
</sst>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applyBorder="1"/>
    <xf numFmtId="0" fontId="0" fillId="0" borderId="0" xfId="0" applyNumberFormat="1"/>
    <xf numFmtId="0" fontId="0" fillId="0" borderId="0" xfId="0" applyNumberFormat="1" applyBorder="1"/>
    <xf numFmtId="0" fontId="2" fillId="0" borderId="0" xfId="0" applyFont="1"/>
    <xf numFmtId="0" fontId="0" fillId="0" borderId="0" xfId="0" applyFill="1" applyBorder="1"/>
    <xf numFmtId="0" fontId="1" fillId="0" borderId="0" xfId="0" applyFont="1" applyFill="1" applyBorder="1"/>
    <xf numFmtId="0" fontId="2" fillId="0" borderId="0" xfId="0" applyFont="1" applyFill="1" applyBorder="1"/>
    <xf numFmtId="0" fontId="0" fillId="0" borderId="0" xfId="0" applyNumberFormat="1" applyFill="1" applyBorder="1"/>
  </cellXfs>
  <cellStyles count="1">
    <cellStyle name="Обычный" xfId="0" builtinId="0"/>
  </cellStyles>
  <dxfs count="9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3" name="Таблица3" displayName="Таблица3" ref="A1:Z7" totalsRowShown="0" headerRowDxfId="8">
  <autoFilter ref="A1:Z7">
    <filterColumn colId="25"/>
  </autoFilter>
  <tableColumns count="26">
    <tableColumn id="1" name="№ ТП"/>
    <tableColumn id="2" name="№ цеха"/>
    <tableColumn id="3" name="Кат потр"/>
    <tableColumn id="4" name="Рр, кВт"/>
    <tableColumn id="5" name="Qр, квар"/>
    <tableColumn id="6" name="Sр, кВА"/>
    <tableColumn id="7" name="Fц, м2"/>
    <tableColumn id="8" name="σ, кВА/м2"/>
    <tableColumn id="9" name="Sэт, кВА" dataDxfId="7">
      <calculatedColumnFormula>Таблица3[[#This Row],[Sр, кВА]]/(1.4*(2-1))</calculatedColumnFormula>
    </tableColumn>
    <tableColumn id="10" name="Тип тр-ра"/>
    <tableColumn id="11" name="Sнт, кВА"/>
    <tableColumn id="12" name="Кол-во тр-ов"/>
    <tableColumn id="13" name="βдоп"/>
    <tableColumn id="14" name="Q1р, квар" dataDxfId="6">
      <calculatedColumnFormula>SQRT((POWER(2*0.8*Таблица3[[#This Row],[Sнт, кВА]], 2))-(POWER(Таблица3[[#This Row],[Рр, кВт]], 2)))</calculatedColumnFormula>
    </tableColumn>
    <tableColumn id="15" name="Q1, квар"/>
    <tableColumn id="16" name="Qнк=Qр-Q1" dataDxfId="5">
      <calculatedColumnFormula>Таблица3[[#This Row],[Qр, квар]]-Таблица3[[#This Row],[Q1, квар]]</calculatedColumnFormula>
    </tableColumn>
    <tableColumn id="17" name="βн/βав"/>
    <tableColumn id="18" name="ΔРх, кВт"/>
    <tableColumn id="19" name="ΔРк, кВт"/>
    <tableColumn id="20" name="Iх, %"/>
    <tableColumn id="21" name="Uк, %"/>
    <tableColumn id="22" name="ΔРт, кВт" dataDxfId="4">
      <calculatedColumnFormula>2*(Таблица3[[#This Row],[ΔРх, кВт]]+(POWER(0.8, 2))*Таблица3[[#This Row],[ΔРк, кВт]])</calculatedColumnFormula>
    </tableColumn>
    <tableColumn id="23" name="ΔQт, квар" dataDxfId="3">
      <calculatedColumnFormula>2*((Таблица3[[#This Row],[Iх, %]]/100)*Таблица3[[#This Row],[Sнт, кВА]]+((POWER(0.8, 2))*(Таблица3[[#This Row],[Uк, %]]/100)*Таблица3[[#This Row],[Sнт, кВА]]))</calculatedColumnFormula>
    </tableColumn>
    <tableColumn id="24" name="Рт=Рр+ΔРт, кВт" dataDxfId="2">
      <calculatedColumnFormula>Таблица3[[#This Row],[Рр, кВт]]+Таблица3[[#This Row],[ΔРт, кВт]]</calculatedColumnFormula>
    </tableColumn>
    <tableColumn id="25" name="Qт=Q1+ΔQт, квар" dataDxfId="1">
      <calculatedColumnFormula>Таблица3[[#This Row],[Q1, квар]]+Таблица3[[#This Row],[ΔQт, квар]]</calculatedColumnFormula>
    </tableColumn>
    <tableColumn id="26" name="Sт, кВА" dataDxfId="0">
      <calculatedColumnFormula>SQRT((POWER(Таблица3[[#This Row],[Рт=Рр+ΔРт, кВт]], 2))+(POWER(Таблица3[[#This Row],[Qт=Q1+ΔQт, квар]], 2)))</calculatedColumnFormula>
    </tableColumn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25437C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2"/>
  <sheetViews>
    <sheetView tabSelected="1" view="pageLayout" topLeftCell="L1" workbookViewId="0">
      <selection activeCell="Z10" sqref="Z10"/>
    </sheetView>
  </sheetViews>
  <sheetFormatPr defaultRowHeight="15"/>
  <cols>
    <col min="1" max="1" width="6.42578125" customWidth="1"/>
    <col min="2" max="2" width="7.7109375" customWidth="1"/>
    <col min="3" max="3" width="8.140625" customWidth="1"/>
    <col min="4" max="4" width="7.5703125" customWidth="1"/>
    <col min="5" max="5" width="8.140625" customWidth="1"/>
    <col min="6" max="6" width="7.7109375" customWidth="1"/>
    <col min="7" max="7" width="8.28515625" customWidth="1"/>
    <col min="8" max="8" width="9.5703125" customWidth="1"/>
    <col min="9" max="9" width="8.28515625" customWidth="1"/>
    <col min="10" max="11" width="8.42578125" customWidth="1"/>
    <col min="12" max="12" width="11.85546875" customWidth="1"/>
    <col min="13" max="13" width="5.5703125" customWidth="1"/>
    <col min="14" max="14" width="9.28515625" customWidth="1"/>
    <col min="15" max="15" width="8.28515625" customWidth="1"/>
    <col min="16" max="16" width="11.5703125" customWidth="1"/>
    <col min="17" max="17" width="10.42578125" customWidth="1"/>
    <col min="18" max="18" width="7.85546875" customWidth="1"/>
    <col min="19" max="19" width="8" customWidth="1"/>
    <col min="20" max="20" width="5" customWidth="1"/>
    <col min="21" max="21" width="5.7109375" customWidth="1"/>
    <col min="22" max="22" width="8.5703125" customWidth="1"/>
    <col min="23" max="23" width="9.140625" customWidth="1"/>
    <col min="24" max="24" width="13.7109375" customWidth="1"/>
    <col min="25" max="25" width="15.28515625" customWidth="1"/>
    <col min="26" max="26" width="8.5703125" customWidth="1"/>
  </cols>
  <sheetData>
    <row r="1" spans="1:26">
      <c r="A1" t="s">
        <v>0</v>
      </c>
      <c r="B1" t="s">
        <v>1</v>
      </c>
      <c r="C1" t="s">
        <v>29</v>
      </c>
      <c r="D1" t="s">
        <v>2</v>
      </c>
      <c r="E1" t="s">
        <v>3</v>
      </c>
      <c r="F1" t="s">
        <v>4</v>
      </c>
      <c r="G1" t="s">
        <v>5</v>
      </c>
      <c r="H1" s="1" t="s">
        <v>10</v>
      </c>
      <c r="I1" t="s">
        <v>7</v>
      </c>
      <c r="J1" t="s">
        <v>6</v>
      </c>
      <c r="K1" t="s">
        <v>8</v>
      </c>
      <c r="L1" t="s">
        <v>28</v>
      </c>
      <c r="M1" s="1" t="s">
        <v>9</v>
      </c>
      <c r="N1" t="s">
        <v>11</v>
      </c>
      <c r="O1" t="s">
        <v>12</v>
      </c>
      <c r="P1" t="s">
        <v>13</v>
      </c>
      <c r="Q1" s="1" t="s">
        <v>14</v>
      </c>
      <c r="R1" s="1" t="s">
        <v>15</v>
      </c>
      <c r="S1" s="1" t="s">
        <v>25</v>
      </c>
      <c r="T1" s="5" t="s">
        <v>16</v>
      </c>
      <c r="U1" s="5" t="s">
        <v>17</v>
      </c>
      <c r="V1" s="5" t="s">
        <v>18</v>
      </c>
      <c r="W1" s="5" t="s">
        <v>19</v>
      </c>
      <c r="X1" s="5" t="s">
        <v>27</v>
      </c>
      <c r="Y1" s="5" t="s">
        <v>26</v>
      </c>
      <c r="Z1" s="5" t="s">
        <v>20</v>
      </c>
    </row>
    <row r="2" spans="1:26">
      <c r="A2">
        <v>1</v>
      </c>
      <c r="B2">
        <v>1</v>
      </c>
      <c r="C2" t="s">
        <v>21</v>
      </c>
      <c r="D2">
        <v>760.94</v>
      </c>
      <c r="E2">
        <v>879.6</v>
      </c>
      <c r="F2">
        <v>1162.95</v>
      </c>
      <c r="G2">
        <v>11785.6</v>
      </c>
      <c r="H2">
        <v>0.09</v>
      </c>
      <c r="I2" s="3">
        <f>Таблица3[[#This Row],[Sр, кВА]]/(1.4*(2-1))</f>
        <v>830.67857142857156</v>
      </c>
      <c r="J2" t="s">
        <v>22</v>
      </c>
      <c r="K2">
        <v>630</v>
      </c>
      <c r="L2">
        <v>2</v>
      </c>
      <c r="M2">
        <v>0.8</v>
      </c>
      <c r="N2" s="3">
        <f>SQRT((POWER(2*0.8*Таблица3[[#This Row],[Sнт, кВА]], 2))-(POWER(Таблица3[[#This Row],[Рр, кВт]], 2)))</f>
        <v>661.08571032809346</v>
      </c>
      <c r="O2">
        <f>Таблица3[[#This Row],[Q1р, квар]]</f>
        <v>661.08571032809346</v>
      </c>
      <c r="P2" s="3">
        <f>Таблица3[[#This Row],[Qр, квар]]-Таблица3[[#This Row],[Q1, квар]]</f>
        <v>218.51428967190657</v>
      </c>
      <c r="Q2" t="s">
        <v>23</v>
      </c>
      <c r="R2">
        <v>1.31</v>
      </c>
      <c r="S2">
        <v>7.6</v>
      </c>
      <c r="T2">
        <v>2</v>
      </c>
      <c r="U2">
        <v>6.5</v>
      </c>
      <c r="V2" s="3">
        <f>2*(Таблица3[[#This Row],[ΔРх, кВт]]+(POWER(0.8, 2))*Таблица3[[#This Row],[ΔРк, кВт]])</f>
        <v>12.348000000000003</v>
      </c>
      <c r="W2" s="3">
        <f>2*((Таблица3[[#This Row],[Iх, %]]/100)*Таблица3[[#This Row],[Sнт, кВА]]+((POWER(0.8, 2))*(Таблица3[[#This Row],[Uк, %]]/100)*Таблица3[[#This Row],[Sнт, кВА]]))</f>
        <v>77.616000000000014</v>
      </c>
      <c r="X2" s="3">
        <f>Таблица3[[#This Row],[Рр, кВт]]+Таблица3[[#This Row],[ΔРт, кВт]]</f>
        <v>773.28800000000001</v>
      </c>
      <c r="Y2" s="3">
        <f>Таблица3[[#This Row],[Q1, квар]]+Таблица3[[#This Row],[ΔQт, квар]]</f>
        <v>738.70171032809344</v>
      </c>
      <c r="Z2" s="3">
        <f>SQRT((POWER(Таблица3[[#This Row],[Рт=Рр+ΔРт, кВт]], 2))+(POWER(Таблица3[[#This Row],[Qт=Q1+ΔQт, квар]], 2)))</f>
        <v>1069.4178546226215</v>
      </c>
    </row>
    <row r="3" spans="1:26">
      <c r="A3" s="2">
        <v>2</v>
      </c>
      <c r="B3" s="2">
        <v>2</v>
      </c>
      <c r="C3" t="s">
        <v>21</v>
      </c>
      <c r="D3" s="2">
        <v>1446.27</v>
      </c>
      <c r="E3" s="2">
        <v>1652.15</v>
      </c>
      <c r="F3" s="2">
        <v>2195.79</v>
      </c>
      <c r="G3" s="2">
        <v>15803.1</v>
      </c>
      <c r="H3" s="2">
        <v>0.13</v>
      </c>
      <c r="I3" s="4">
        <f>Таблица3[[#This Row],[Sр, кВА]]/(1.4*(2-1))</f>
        <v>1568.4214285714286</v>
      </c>
      <c r="J3" t="s">
        <v>22</v>
      </c>
      <c r="K3" s="2">
        <v>1000</v>
      </c>
      <c r="L3" s="2">
        <v>2</v>
      </c>
      <c r="M3">
        <v>0.8</v>
      </c>
      <c r="N3" s="4">
        <f>SQRT((POWER(2*0.8*Таблица3[[#This Row],[Sнт, кВА]], 2))-(POWER(Таблица3[[#This Row],[Рр, кВт]], 2)))</f>
        <v>684.32674001532348</v>
      </c>
      <c r="O3" s="2">
        <f>Таблица3[[#This Row],[Q1р, квар]]</f>
        <v>684.32674001532348</v>
      </c>
      <c r="P3" s="4">
        <f>Таблица3[[#This Row],[Qр, квар]]-Таблица3[[#This Row],[Q1, квар]]</f>
        <v>967.82325998467661</v>
      </c>
      <c r="Q3" s="2" t="s">
        <v>23</v>
      </c>
      <c r="R3" s="2">
        <v>2.4</v>
      </c>
      <c r="S3">
        <v>13.6</v>
      </c>
      <c r="T3" s="2">
        <v>1.4</v>
      </c>
      <c r="U3" s="2">
        <v>6.9</v>
      </c>
      <c r="V3" s="4">
        <f>2*(Таблица3[[#This Row],[ΔРх, кВт]]+(POWER(0.8, 2))*Таблица3[[#This Row],[ΔРк, кВт]])</f>
        <v>22.208000000000002</v>
      </c>
      <c r="W3" s="4">
        <f>2*((Таблица3[[#This Row],[Iх, %]]/100)*Таблица3[[#This Row],[Sнт, кВА]]+((POWER(0.8, 2))*(Таблица3[[#This Row],[Uк, %]]/100)*Таблица3[[#This Row],[Sнт, кВА]]))</f>
        <v>116.32000000000002</v>
      </c>
      <c r="X3" s="4">
        <f>Таблица3[[#This Row],[Рр, кВт]]+Таблица3[[#This Row],[ΔРт, кВт]]</f>
        <v>1468.4780000000001</v>
      </c>
      <c r="Y3" s="4">
        <f>Таблица3[[#This Row],[Q1, квар]]+Таблица3[[#This Row],[ΔQт, квар]]</f>
        <v>800.64674001532353</v>
      </c>
      <c r="Z3" s="4">
        <f>SQRT((POWER(Таблица3[[#This Row],[Рт=Рр+ΔРт, кВт]], 2))+(POWER(Таблица3[[#This Row],[Qт=Q1+ΔQт, квар]], 2)))</f>
        <v>1672.5617593324216</v>
      </c>
    </row>
    <row r="4" spans="1:26">
      <c r="A4" s="2">
        <v>3</v>
      </c>
      <c r="B4" s="2">
        <v>3</v>
      </c>
      <c r="C4" t="s">
        <v>21</v>
      </c>
      <c r="D4" s="2">
        <v>4019.1</v>
      </c>
      <c r="E4" s="2">
        <v>2864.53</v>
      </c>
      <c r="F4" s="2">
        <v>4935.4399999999996</v>
      </c>
      <c r="G4" s="2">
        <v>48758.2</v>
      </c>
      <c r="H4" s="2">
        <v>0.09</v>
      </c>
      <c r="I4" s="4">
        <f>Таблица3[[#This Row],[Sр, кВА]]/(1.4*(2-1))</f>
        <v>3525.3142857142857</v>
      </c>
      <c r="J4" t="s">
        <v>22</v>
      </c>
      <c r="K4" s="2">
        <v>4000</v>
      </c>
      <c r="L4" s="2">
        <v>2</v>
      </c>
      <c r="M4">
        <v>0.8</v>
      </c>
      <c r="N4" s="4">
        <f>SQRT((POWER(2*0.8*Таблица3[[#This Row],[Sнт, кВА]], 2))-(POWER(Таблица3[[#This Row],[Рр, кВт]], 2)))</f>
        <v>4980.6460615064789</v>
      </c>
      <c r="O4" s="2">
        <v>2864.53</v>
      </c>
      <c r="P4" s="4">
        <f>Таблица3[[#This Row],[Qр, квар]]-Таблица3[[#This Row],[Q1, квар]]</f>
        <v>0</v>
      </c>
      <c r="Q4" s="2" t="s">
        <v>24</v>
      </c>
      <c r="R4" s="2">
        <v>5.2</v>
      </c>
      <c r="S4">
        <v>33.5</v>
      </c>
      <c r="T4" s="2">
        <v>0.9</v>
      </c>
      <c r="U4" s="2">
        <v>7.5</v>
      </c>
      <c r="V4" s="4">
        <f>2*(Таблица3[[#This Row],[ΔРх, кВт]]+(POWER(0.617, 2))*Таблица3[[#This Row],[ΔРк, кВт]])</f>
        <v>35.906162999999999</v>
      </c>
      <c r="W4" s="4">
        <f>2*((Таблица3[[#This Row],[Iх, %]]/100)*Таблица3[[#This Row],[Sнт, кВА]]+((POWER(0.617, 2))*(Таблица3[[#This Row],[Uк, %]]/100)*Таблица3[[#This Row],[Sнт, кВА]]))</f>
        <v>300.41340000000002</v>
      </c>
      <c r="X4" s="4">
        <f>Таблица3[[#This Row],[Рр, кВт]]+Таблица3[[#This Row],[ΔРт, кВт]]</f>
        <v>4055.006163</v>
      </c>
      <c r="Y4" s="4">
        <f>Таблица3[[#This Row],[Q1, квар]]+Таблица3[[#This Row],[ΔQт, квар]]</f>
        <v>3164.9434000000001</v>
      </c>
      <c r="Z4" s="4">
        <f>SQRT((POWER(Таблица3[[#This Row],[Рт=Рр+ΔРт, кВт]], 2))+(POWER(Таблица3[[#This Row],[Qт=Q1+ΔQт, квар]], 2)))</f>
        <v>5143.9227936635616</v>
      </c>
    </row>
    <row r="5" spans="1:26">
      <c r="A5" s="2">
        <v>4</v>
      </c>
      <c r="B5" s="2">
        <v>4</v>
      </c>
      <c r="C5" t="s">
        <v>21</v>
      </c>
      <c r="D5" s="2">
        <f>304+176.7</f>
        <v>480.7</v>
      </c>
      <c r="E5" s="2">
        <v>180.58</v>
      </c>
      <c r="F5" s="2">
        <v>513.5</v>
      </c>
      <c r="G5" s="2">
        <v>12400</v>
      </c>
      <c r="H5" s="2">
        <v>0.497</v>
      </c>
      <c r="I5" s="4">
        <f>Таблица3[[#This Row],[Sр, кВА]]/(1.4*(2-1))</f>
        <v>366.78571428571433</v>
      </c>
      <c r="J5" t="s">
        <v>22</v>
      </c>
      <c r="K5" s="2">
        <v>400</v>
      </c>
      <c r="L5" s="2">
        <v>2</v>
      </c>
      <c r="M5">
        <v>0.8</v>
      </c>
      <c r="N5" s="4">
        <f>SQRT((POWER(2*0.8*Таблица3[[#This Row],[Sнт, кВА]], 2))-(POWER(Таблица3[[#This Row],[Рр, кВт]], 2)))</f>
        <v>422.52515901422959</v>
      </c>
      <c r="O5" s="2">
        <v>180.58</v>
      </c>
      <c r="P5" s="4">
        <f>Таблица3[[#This Row],[Qр, квар]]-Таблица3[[#This Row],[Q1, квар]]</f>
        <v>0</v>
      </c>
      <c r="Q5" s="2" t="s">
        <v>30</v>
      </c>
      <c r="R5" s="2">
        <v>0.95</v>
      </c>
      <c r="S5">
        <v>5.5</v>
      </c>
      <c r="T5" s="2">
        <v>2.1</v>
      </c>
      <c r="U5" s="2">
        <v>4.5</v>
      </c>
      <c r="V5" s="4">
        <f>2*(Таблица3[[#This Row],[ΔРх, кВт]]+(POWER(0.787, 2))*Таблица3[[#This Row],[ΔРк, кВт]])</f>
        <v>8.7130590000000012</v>
      </c>
      <c r="W5" s="4">
        <f>2*((Таблица3[[#This Row],[Iх, %]]/100)*Таблица3[[#This Row],[Sнт, кВА]]+((POWER(0.787, 2))*(Таблица3[[#This Row],[Uк, %]]/100)*Таблица3[[#This Row],[Sнт, кВА]]))</f>
        <v>39.097284000000002</v>
      </c>
      <c r="X5" s="4">
        <f>Таблица3[[#This Row],[Рр, кВт]]+Таблица3[[#This Row],[ΔРт, кВт]]</f>
        <v>489.41305899999998</v>
      </c>
      <c r="Y5" s="4">
        <f>Таблица3[[#This Row],[Q1, квар]]+Таблица3[[#This Row],[ΔQт, квар]]</f>
        <v>219.67728400000001</v>
      </c>
      <c r="Z5" s="4">
        <f>SQRT((POWER(Таблица3[[#This Row],[Рт=Рр+ΔРт, кВт]], 2))+(POWER(Таблица3[[#This Row],[Qт=Q1+ΔQт, квар]], 2)))</f>
        <v>536.45433302878087</v>
      </c>
    </row>
    <row r="6" spans="1:26">
      <c r="A6" s="2">
        <v>5</v>
      </c>
      <c r="B6" s="2">
        <v>5</v>
      </c>
      <c r="C6" t="s">
        <v>21</v>
      </c>
      <c r="D6" s="2">
        <v>1472.35</v>
      </c>
      <c r="E6" s="2">
        <v>786.23</v>
      </c>
      <c r="F6" s="2">
        <v>1669.12</v>
      </c>
      <c r="G6" s="2">
        <v>18086</v>
      </c>
      <c r="H6" s="2">
        <v>0.08</v>
      </c>
      <c r="I6" s="4">
        <f>Таблица3[[#This Row],[Sр, кВА]]/(1.4*(2-1))</f>
        <v>1192.2285714285715</v>
      </c>
      <c r="J6" t="s">
        <v>22</v>
      </c>
      <c r="K6" s="2">
        <v>1000</v>
      </c>
      <c r="L6" s="2">
        <v>2</v>
      </c>
      <c r="M6">
        <v>0.8</v>
      </c>
      <c r="N6" s="4">
        <f>SQRT((POWER(2*0.8*Таблица3[[#This Row],[Sнт, кВА]], 2))-(POWER(Таблица3[[#This Row],[Рр, кВт]], 2)))</f>
        <v>626.24713771800987</v>
      </c>
      <c r="O6" s="2">
        <f>Таблица3[[#This Row],[Q1р, квар]]</f>
        <v>626.24713771800987</v>
      </c>
      <c r="P6" s="4">
        <f>Таблица3[[#This Row],[Qр, квар]]-Таблица3[[#This Row],[Q1, квар]]</f>
        <v>159.98286228199015</v>
      </c>
      <c r="Q6" s="2" t="s">
        <v>23</v>
      </c>
      <c r="R6" s="2">
        <v>2.4</v>
      </c>
      <c r="S6">
        <v>13.6</v>
      </c>
      <c r="T6" s="2">
        <v>1.4</v>
      </c>
      <c r="U6" s="2">
        <v>6.9</v>
      </c>
      <c r="V6" s="4">
        <f>2*(Таблица3[[#This Row],[ΔРх, кВт]]+(POWER(0.8, 2))*Таблица3[[#This Row],[ΔРк, кВт]])</f>
        <v>22.208000000000002</v>
      </c>
      <c r="W6" s="4">
        <f>2*((Таблица3[[#This Row],[Iх, %]]/100)*Таблица3[[#This Row],[Sнт, кВА]]+((POWER(0.8, 2))*(Таблица3[[#This Row],[Uк, %]]/100)*Таблица3[[#This Row],[Sнт, кВА]]))</f>
        <v>116.32000000000002</v>
      </c>
      <c r="X6" s="4">
        <f>Таблица3[[#This Row],[Рр, кВт]]+Таблица3[[#This Row],[ΔРт, кВт]]</f>
        <v>1494.558</v>
      </c>
      <c r="Y6" s="4">
        <f>Таблица3[[#This Row],[Q1, квар]]+Таблица3[[#This Row],[ΔQт, квар]]</f>
        <v>742.56713771800992</v>
      </c>
      <c r="Z6" s="4">
        <f>SQRT((POWER(Таблица3[[#This Row],[Рт=Рр+ΔРт, кВт]], 2))+(POWER(Таблица3[[#This Row],[Qт=Q1+ΔQт, квар]], 2)))</f>
        <v>1668.8647546708864</v>
      </c>
    </row>
    <row r="7" spans="1:26">
      <c r="A7" s="2">
        <v>6</v>
      </c>
      <c r="B7" s="2">
        <v>6</v>
      </c>
      <c r="C7" t="s">
        <v>21</v>
      </c>
      <c r="D7" s="2">
        <v>943.33</v>
      </c>
      <c r="E7" s="2">
        <v>1053.3599999999999</v>
      </c>
      <c r="F7" s="2">
        <v>1414.02</v>
      </c>
      <c r="G7" s="2">
        <v>24226.799999999999</v>
      </c>
      <c r="H7" s="2">
        <v>0.05</v>
      </c>
      <c r="I7" s="4">
        <f>Таблица3[[#This Row],[Sр, кВА]]/(1.4*(2-1))</f>
        <v>1010.0142857142857</v>
      </c>
      <c r="J7" t="s">
        <v>22</v>
      </c>
      <c r="K7" s="2">
        <v>630</v>
      </c>
      <c r="L7" s="2">
        <v>2</v>
      </c>
      <c r="M7">
        <v>0.8</v>
      </c>
      <c r="N7" s="4">
        <f>SQRT((POWER(2*0.8*Таблица3[[#This Row],[Sнт, кВА]], 2))-(POWER(Таблица3[[#This Row],[Рр, кВт]], 2)))</f>
        <v>355.23585277952998</v>
      </c>
      <c r="O7" s="2">
        <f>Таблица3[[#This Row],[Q1р, квар]]</f>
        <v>355.23585277952998</v>
      </c>
      <c r="P7" s="4">
        <f>Таблица3[[#This Row],[Qр, квар]]-Таблица3[[#This Row],[Q1, квар]]</f>
        <v>698.12414722046992</v>
      </c>
      <c r="Q7" s="2" t="s">
        <v>23</v>
      </c>
      <c r="R7" s="2">
        <v>1.31</v>
      </c>
      <c r="S7">
        <v>7.6</v>
      </c>
      <c r="T7" s="2">
        <v>2</v>
      </c>
      <c r="U7" s="2">
        <v>6.5</v>
      </c>
      <c r="V7" s="4">
        <f>2*(Таблица3[[#This Row],[ΔРх, кВт]]+(POWER(0.8, 2))*Таблица3[[#This Row],[ΔРк, кВт]])</f>
        <v>12.348000000000003</v>
      </c>
      <c r="W7" s="4">
        <f>2*((Таблица3[[#This Row],[Iх, %]]/100)*Таблица3[[#This Row],[Sнт, кВА]]+((POWER(0.8, 2))*(Таблица3[[#This Row],[Uк, %]]/100)*Таблица3[[#This Row],[Sнт, кВА]]))</f>
        <v>77.616000000000014</v>
      </c>
      <c r="X7" s="4">
        <f>Таблица3[[#This Row],[Рр, кВт]]+Таблица3[[#This Row],[ΔРт, кВт]]</f>
        <v>955.678</v>
      </c>
      <c r="Y7" s="4">
        <f>Таблица3[[#This Row],[Q1, квар]]+Таблица3[[#This Row],[ΔQт, квар]]</f>
        <v>432.85185277952996</v>
      </c>
      <c r="Z7" s="4">
        <f>SQRT((POWER(Таблица3[[#This Row],[Рт=Рр+ΔРт, кВт]], 2))+(POWER(Таблица3[[#This Row],[Qт=Q1+ΔQт, квар]], 2)))</f>
        <v>1049.1335311287462</v>
      </c>
    </row>
    <row r="8" spans="1:26">
      <c r="A8" t="s">
        <v>31</v>
      </c>
      <c r="D8">
        <f>D2+D3+D4+D5+D6+D7</f>
        <v>9122.6899999999987</v>
      </c>
      <c r="E8">
        <f>E2+E3+E4+E5+E6+E7</f>
        <v>7416.45</v>
      </c>
      <c r="F8">
        <f>F2+F3+F4+F5+F6+F7</f>
        <v>11890.82</v>
      </c>
      <c r="N8">
        <f>N2+N3+N4+N5+N6+N7</f>
        <v>7730.066661361665</v>
      </c>
      <c r="O8">
        <f>O2+O3+O4+O5+O6+O7</f>
        <v>5372.005440840956</v>
      </c>
      <c r="P8">
        <f>P2+P3+P4+P5+P6+P7</f>
        <v>2044.4445591590431</v>
      </c>
      <c r="V8">
        <f>V2+V3+V4+V5+V6+V7</f>
        <v>113.731222</v>
      </c>
      <c r="W8">
        <f>W2+W3+W4+W5+W6+W7</f>
        <v>727.38268400000004</v>
      </c>
      <c r="X8">
        <f>X2+X3+X4+X5+X6+X7</f>
        <v>9236.4212220000009</v>
      </c>
      <c r="Y8">
        <f>Y2+Y3+Y4+Y5+Y6+Y7</f>
        <v>6099.388124840958</v>
      </c>
      <c r="Z8">
        <f>Z2+Z3+Z4+Z5+Z6+Z7</f>
        <v>11140.35502644702</v>
      </c>
    </row>
    <row r="12" spans="1:26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>
      <c r="A13" s="6"/>
      <c r="B13" s="6"/>
      <c r="C13" s="6"/>
      <c r="D13" s="6"/>
      <c r="E13" s="6"/>
      <c r="F13" s="6"/>
      <c r="G13" s="6"/>
      <c r="H13" s="7"/>
      <c r="I13" s="6"/>
      <c r="J13" s="6"/>
      <c r="K13" s="6"/>
      <c r="L13" s="6"/>
      <c r="M13" s="7"/>
      <c r="N13" s="6"/>
      <c r="O13" s="6"/>
      <c r="P13" s="6"/>
      <c r="Q13" s="7"/>
      <c r="R13" s="7"/>
      <c r="S13" s="7"/>
      <c r="T13" s="8"/>
      <c r="U13" s="8"/>
      <c r="V13" s="8"/>
      <c r="W13" s="8"/>
      <c r="X13" s="8"/>
      <c r="Y13" s="8"/>
      <c r="Z13" s="8"/>
    </row>
    <row r="14" spans="1:26">
      <c r="A14" s="6"/>
      <c r="B14" s="6"/>
      <c r="C14" s="6"/>
      <c r="D14" s="6"/>
      <c r="E14" s="6"/>
      <c r="F14" s="6"/>
      <c r="G14" s="6"/>
      <c r="H14" s="6"/>
      <c r="I14" s="9"/>
      <c r="J14" s="6"/>
      <c r="K14" s="6"/>
      <c r="L14" s="6"/>
      <c r="M14" s="6"/>
      <c r="N14" s="9"/>
      <c r="O14" s="6"/>
      <c r="P14" s="9"/>
      <c r="Q14" s="6"/>
      <c r="R14" s="6"/>
      <c r="S14" s="6"/>
      <c r="T14" s="6"/>
      <c r="U14" s="6"/>
      <c r="V14" s="9"/>
      <c r="W14" s="9"/>
      <c r="X14" s="9"/>
      <c r="Y14" s="9"/>
      <c r="Z14" s="9"/>
    </row>
    <row r="15" spans="1:26">
      <c r="A15" s="6"/>
      <c r="B15" s="6"/>
      <c r="C15" s="6"/>
      <c r="D15" s="6"/>
      <c r="E15" s="6"/>
      <c r="F15" s="6"/>
      <c r="G15" s="6"/>
      <c r="H15" s="6"/>
      <c r="I15" s="9"/>
      <c r="J15" s="6"/>
      <c r="K15" s="6"/>
      <c r="L15" s="6"/>
      <c r="M15" s="6"/>
      <c r="N15" s="9"/>
      <c r="O15" s="6"/>
      <c r="P15" s="9"/>
      <c r="Q15" s="6"/>
      <c r="R15" s="6"/>
      <c r="S15" s="6"/>
      <c r="T15" s="6"/>
      <c r="U15" s="6"/>
      <c r="V15" s="9"/>
      <c r="W15" s="9"/>
      <c r="X15" s="9"/>
      <c r="Y15" s="9"/>
      <c r="Z15" s="9"/>
    </row>
    <row r="16" spans="1:26">
      <c r="A16" s="6"/>
      <c r="B16" s="6"/>
      <c r="C16" s="6"/>
      <c r="D16" s="6"/>
      <c r="E16" s="6"/>
      <c r="F16" s="6"/>
      <c r="G16" s="6"/>
      <c r="H16" s="6"/>
      <c r="I16" s="9"/>
      <c r="J16" s="6"/>
      <c r="K16" s="6"/>
      <c r="L16" s="6"/>
      <c r="M16" s="6"/>
      <c r="N16" s="9"/>
      <c r="O16" s="6"/>
      <c r="P16" s="9"/>
      <c r="Q16" s="6"/>
      <c r="R16" s="6"/>
      <c r="S16" s="6"/>
      <c r="T16" s="6"/>
      <c r="U16" s="6"/>
      <c r="V16" s="9"/>
      <c r="W16" s="9"/>
      <c r="X16" s="9"/>
      <c r="Y16" s="9"/>
      <c r="Z16" s="9"/>
    </row>
    <row r="17" spans="1:26">
      <c r="A17" s="6"/>
      <c r="B17" s="6"/>
      <c r="C17" s="6"/>
      <c r="D17" s="6"/>
      <c r="E17" s="6"/>
      <c r="F17" s="6"/>
      <c r="G17" s="6"/>
      <c r="H17" s="6"/>
      <c r="I17" s="9"/>
      <c r="J17" s="6"/>
      <c r="K17" s="6"/>
      <c r="L17" s="6"/>
      <c r="M17" s="6"/>
      <c r="N17" s="9"/>
      <c r="O17" s="6"/>
      <c r="P17" s="9"/>
      <c r="Q17" s="6"/>
      <c r="R17" s="6"/>
      <c r="S17" s="6"/>
      <c r="T17" s="6"/>
      <c r="U17" s="6"/>
      <c r="V17" s="9"/>
      <c r="W17" s="9"/>
      <c r="X17" s="9"/>
      <c r="Y17" s="9"/>
      <c r="Z17" s="9"/>
    </row>
    <row r="18" spans="1:26">
      <c r="A18" s="6"/>
      <c r="B18" s="6"/>
      <c r="C18" s="6"/>
      <c r="D18" s="6"/>
      <c r="E18" s="6"/>
      <c r="F18" s="6"/>
      <c r="G18" s="6"/>
      <c r="H18" s="6"/>
      <c r="I18" s="9"/>
      <c r="J18" s="6"/>
      <c r="K18" s="6"/>
      <c r="L18" s="6"/>
      <c r="M18" s="6"/>
      <c r="N18" s="9"/>
      <c r="O18" s="6"/>
      <c r="P18" s="9"/>
      <c r="Q18" s="6"/>
      <c r="R18" s="6"/>
      <c r="S18" s="6"/>
      <c r="T18" s="6"/>
      <c r="U18" s="6"/>
      <c r="V18" s="9"/>
      <c r="W18" s="9"/>
      <c r="X18" s="9"/>
      <c r="Y18" s="9"/>
      <c r="Z18" s="9"/>
    </row>
    <row r="19" spans="1:26">
      <c r="A19" s="6"/>
      <c r="B19" s="6"/>
      <c r="C19" s="6"/>
      <c r="D19" s="6"/>
      <c r="E19" s="6"/>
      <c r="F19" s="6"/>
      <c r="G19" s="6"/>
      <c r="H19" s="6"/>
      <c r="I19" s="9"/>
      <c r="J19" s="6"/>
      <c r="K19" s="6"/>
      <c r="L19" s="6"/>
      <c r="M19" s="6"/>
      <c r="N19" s="9"/>
      <c r="O19" s="6"/>
      <c r="P19" s="9"/>
      <c r="Q19" s="6"/>
      <c r="R19" s="6"/>
      <c r="S19" s="6"/>
      <c r="T19" s="6"/>
      <c r="U19" s="6"/>
      <c r="V19" s="9"/>
      <c r="W19" s="9"/>
      <c r="X19" s="9"/>
      <c r="Y19" s="9"/>
      <c r="Z19" s="9"/>
    </row>
    <row r="20" spans="1:26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</sheetData>
  <pageMargins left="0.26041666666666669" right="0.29166666666666669" top="0.22916666666666666" bottom="0.75" header="0.3" footer="0.3"/>
  <pageSetup paperSize="9" orientation="landscape" horizontalDpi="180" verticalDpi="180" r:id="rId1"/>
  <ignoredErrors>
    <ignoredError sqref="V4:V5 W4:W5" calculatedColumn="1"/>
  </ignoredError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2009-12-15T05:06:31Z</dcterms:modified>
</cp:coreProperties>
</file>