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46" i="2"/>
  <c r="E44"/>
  <c r="B44"/>
  <c r="E43"/>
  <c r="D43"/>
  <c r="I43" s="1"/>
  <c r="J43" s="1"/>
  <c r="I42"/>
  <c r="J42" s="1"/>
  <c r="D42"/>
  <c r="D41"/>
  <c r="I41" s="1"/>
  <c r="J41" s="1"/>
  <c r="C41"/>
  <c r="E40"/>
  <c r="D40"/>
  <c r="D44" s="1"/>
  <c r="E37"/>
  <c r="B37"/>
  <c r="I36"/>
  <c r="J36" s="1"/>
  <c r="D36"/>
  <c r="J35"/>
  <c r="I35"/>
  <c r="D34"/>
  <c r="I34" s="1"/>
  <c r="J34" s="1"/>
  <c r="I33"/>
  <c r="I37" s="1"/>
  <c r="D33"/>
  <c r="D37" s="1"/>
  <c r="J30"/>
  <c r="I30"/>
  <c r="H30"/>
  <c r="E30"/>
  <c r="D30"/>
  <c r="F30" s="1"/>
  <c r="B30"/>
  <c r="N29"/>
  <c r="M29"/>
  <c r="O29" s="1"/>
  <c r="I28"/>
  <c r="J28" s="1"/>
  <c r="N27"/>
  <c r="N30" s="1"/>
  <c r="M27"/>
  <c r="O27" s="1"/>
  <c r="O30" s="1"/>
  <c r="K27"/>
  <c r="I26"/>
  <c r="J26" s="1"/>
  <c r="D26"/>
  <c r="E23"/>
  <c r="B23"/>
  <c r="E22"/>
  <c r="D22"/>
  <c r="I22" s="1"/>
  <c r="J22" s="1"/>
  <c r="E21"/>
  <c r="D21"/>
  <c r="I21" s="1"/>
  <c r="J21" s="1"/>
  <c r="D20"/>
  <c r="I20" s="1"/>
  <c r="J20" s="1"/>
  <c r="I19"/>
  <c r="J19" s="1"/>
  <c r="J23" s="1"/>
  <c r="D19"/>
  <c r="D23" s="1"/>
  <c r="B16"/>
  <c r="I15"/>
  <c r="J15" s="1"/>
  <c r="D15"/>
  <c r="J14"/>
  <c r="I14"/>
  <c r="J13"/>
  <c r="I13"/>
  <c r="D12"/>
  <c r="I12" s="1"/>
  <c r="J12" s="1"/>
  <c r="I11"/>
  <c r="J11" s="1"/>
  <c r="D11"/>
  <c r="D10"/>
  <c r="D16" s="1"/>
  <c r="E7"/>
  <c r="D7"/>
  <c r="D46" s="1"/>
  <c r="B7"/>
  <c r="B46" s="1"/>
  <c r="I6"/>
  <c r="J6" s="1"/>
  <c r="I5"/>
  <c r="J5" s="1"/>
  <c r="I4"/>
  <c r="J4" s="1"/>
  <c r="I3"/>
  <c r="I7" s="1"/>
  <c r="J33" i="1"/>
  <c r="I33"/>
  <c r="N29"/>
  <c r="N27"/>
  <c r="M29"/>
  <c r="O29" s="1"/>
  <c r="M27"/>
  <c r="K27"/>
  <c r="E46"/>
  <c r="C41"/>
  <c r="J30"/>
  <c r="H30" s="1"/>
  <c r="I30"/>
  <c r="F30" s="1"/>
  <c r="E30"/>
  <c r="D30"/>
  <c r="B30"/>
  <c r="I28"/>
  <c r="J28" s="1"/>
  <c r="I26"/>
  <c r="J26" s="1"/>
  <c r="D26"/>
  <c r="E44"/>
  <c r="D41"/>
  <c r="I41"/>
  <c r="J41" s="1"/>
  <c r="B44"/>
  <c r="E43"/>
  <c r="D43"/>
  <c r="I43" s="1"/>
  <c r="J43" s="1"/>
  <c r="D42"/>
  <c r="I42" s="1"/>
  <c r="J42" s="1"/>
  <c r="E40"/>
  <c r="D40"/>
  <c r="D44" s="1"/>
  <c r="I35"/>
  <c r="J35" s="1"/>
  <c r="E37"/>
  <c r="B37"/>
  <c r="D36"/>
  <c r="I36" s="1"/>
  <c r="J36" s="1"/>
  <c r="D34"/>
  <c r="I34" s="1"/>
  <c r="J34" s="1"/>
  <c r="D33"/>
  <c r="E23"/>
  <c r="B23"/>
  <c r="E22"/>
  <c r="D22"/>
  <c r="I22" s="1"/>
  <c r="J22" s="1"/>
  <c r="E21"/>
  <c r="D21"/>
  <c r="I21" s="1"/>
  <c r="J21" s="1"/>
  <c r="D20"/>
  <c r="I20" s="1"/>
  <c r="J20" s="1"/>
  <c r="D19"/>
  <c r="I19" s="1"/>
  <c r="B16"/>
  <c r="D15"/>
  <c r="I15" s="1"/>
  <c r="J15" s="1"/>
  <c r="I14"/>
  <c r="J14" s="1"/>
  <c r="I13"/>
  <c r="J13" s="1"/>
  <c r="D12"/>
  <c r="I12" s="1"/>
  <c r="J12" s="1"/>
  <c r="D11"/>
  <c r="I11" s="1"/>
  <c r="J11" s="1"/>
  <c r="D10"/>
  <c r="I10" s="1"/>
  <c r="J10" s="1"/>
  <c r="I3"/>
  <c r="I4"/>
  <c r="J4" s="1"/>
  <c r="I5"/>
  <c r="J5" s="1"/>
  <c r="I6"/>
  <c r="J6" s="1"/>
  <c r="E7"/>
  <c r="D7"/>
  <c r="B7"/>
  <c r="M7" i="2" l="1"/>
  <c r="F7"/>
  <c r="M37"/>
  <c r="F37"/>
  <c r="N23"/>
  <c r="I23"/>
  <c r="H23" s="1"/>
  <c r="M30"/>
  <c r="I40"/>
  <c r="J3"/>
  <c r="J7" s="1"/>
  <c r="I10"/>
  <c r="J33"/>
  <c r="J37" s="1"/>
  <c r="B46" i="1"/>
  <c r="M30"/>
  <c r="N30"/>
  <c r="O27"/>
  <c r="O30" s="1"/>
  <c r="I40"/>
  <c r="I44" s="1"/>
  <c r="D37"/>
  <c r="J40"/>
  <c r="J44" s="1"/>
  <c r="N44" s="1"/>
  <c r="I37"/>
  <c r="J37"/>
  <c r="I23"/>
  <c r="M23" s="1"/>
  <c r="J19"/>
  <c r="J23" s="1"/>
  <c r="D23"/>
  <c r="J16"/>
  <c r="N16" s="1"/>
  <c r="D16"/>
  <c r="D46" s="1"/>
  <c r="I16"/>
  <c r="M16" s="1"/>
  <c r="O16" s="1"/>
  <c r="I7"/>
  <c r="J3"/>
  <c r="J7" s="1"/>
  <c r="N37" i="2" l="1"/>
  <c r="H37"/>
  <c r="N7"/>
  <c r="H7"/>
  <c r="O7"/>
  <c r="I16"/>
  <c r="J10"/>
  <c r="J16" s="1"/>
  <c r="J40"/>
  <c r="J44" s="1"/>
  <c r="I44"/>
  <c r="M23"/>
  <c r="O23" s="1"/>
  <c r="F23"/>
  <c r="O37"/>
  <c r="H23" i="1"/>
  <c r="N23"/>
  <c r="H37"/>
  <c r="N37"/>
  <c r="F44"/>
  <c r="M44"/>
  <c r="O44" s="1"/>
  <c r="H7"/>
  <c r="N7"/>
  <c r="N46" s="1"/>
  <c r="J46"/>
  <c r="F7"/>
  <c r="I46"/>
  <c r="F46" s="1"/>
  <c r="M7"/>
  <c r="F37"/>
  <c r="M37"/>
  <c r="O37" s="1"/>
  <c r="O23"/>
  <c r="H44"/>
  <c r="F16"/>
  <c r="F23"/>
  <c r="H16"/>
  <c r="M44" i="2" l="1"/>
  <c r="F44"/>
  <c r="N16"/>
  <c r="H16"/>
  <c r="J46"/>
  <c r="N44"/>
  <c r="H44"/>
  <c r="M16"/>
  <c r="F16"/>
  <c r="I46"/>
  <c r="F46" s="1"/>
  <c r="N46"/>
  <c r="O7" i="1"/>
  <c r="O46" s="1"/>
  <c r="M46"/>
  <c r="H46"/>
  <c r="H46" i="2" l="1"/>
  <c r="O44"/>
  <c r="O16"/>
  <c r="M46"/>
  <c r="O46" l="1"/>
</calcChain>
</file>

<file path=xl/sharedStrings.xml><?xml version="1.0" encoding="utf-8"?>
<sst xmlns="http://schemas.openxmlformats.org/spreadsheetml/2006/main" count="142" uniqueCount="60">
  <si>
    <t>Наименование групп электроприемников и узлов питания</t>
  </si>
  <si>
    <t>n</t>
  </si>
  <si>
    <t>Рн мин-Рн макс, кВт</t>
  </si>
  <si>
    <t>Сумма Рн, кВт</t>
  </si>
  <si>
    <t>m</t>
  </si>
  <si>
    <t>Ки</t>
  </si>
  <si>
    <t>cosy</t>
  </si>
  <si>
    <t>tgy</t>
  </si>
  <si>
    <t>Qсм, квар</t>
  </si>
  <si>
    <t>Рсм, кВт</t>
  </si>
  <si>
    <t>nэ</t>
  </si>
  <si>
    <t>Кр(Ко)</t>
  </si>
  <si>
    <t>Рр, кВт</t>
  </si>
  <si>
    <t>Qр, квар</t>
  </si>
  <si>
    <t>Sр, кВА</t>
  </si>
  <si>
    <t>Механический цех</t>
  </si>
  <si>
    <t>Станки различные</t>
  </si>
  <si>
    <t>7,5-75</t>
  </si>
  <si>
    <t>Вентиляторы</t>
  </si>
  <si>
    <t>7,5-40</t>
  </si>
  <si>
    <t>Краны (ПВ=40%)</t>
  </si>
  <si>
    <t>23,4-50,6</t>
  </si>
  <si>
    <t>Сварочные тр-ры (ПВ=40%)</t>
  </si>
  <si>
    <t>13,9-18,97</t>
  </si>
  <si>
    <t>Сварочный цех</t>
  </si>
  <si>
    <t>7,5-50,6</t>
  </si>
  <si>
    <t>Св-ые выпрямители (ПВ=40%)</t>
  </si>
  <si>
    <t>Св-ые трансф-ры (ПВ=40%)</t>
  </si>
  <si>
    <t>21-75</t>
  </si>
  <si>
    <t>Дымососы печей</t>
  </si>
  <si>
    <t>40-55</t>
  </si>
  <si>
    <t>Электрофильтры</t>
  </si>
  <si>
    <t>18,97-126,49</t>
  </si>
  <si>
    <t>Сборочный цех</t>
  </si>
  <si>
    <t>Автоматические линии</t>
  </si>
  <si>
    <t>50-75</t>
  </si>
  <si>
    <t>Краны (ПВ=60%)</t>
  </si>
  <si>
    <t>31-58,1</t>
  </si>
  <si>
    <t>Итого по "Сборочный цех"</t>
  </si>
  <si>
    <t>Итого по "Сварочный цех"</t>
  </si>
  <si>
    <t>Итого по "Механическ цех"</t>
  </si>
  <si>
    <t>31-750</t>
  </si>
  <si>
    <t>Компрессорная станция</t>
  </si>
  <si>
    <t>Двигатели СДН-1600</t>
  </si>
  <si>
    <t>Нагрузка 0,4 кВ</t>
  </si>
  <si>
    <t>Итого по "Компрес станц"</t>
  </si>
  <si>
    <t>Итого по 6 кВ</t>
  </si>
  <si>
    <t>Итого по 0,4 кВ</t>
  </si>
  <si>
    <t>Окрасочный цех</t>
  </si>
  <si>
    <t>Окрасочные камеры</t>
  </si>
  <si>
    <t>Конвейеры</t>
  </si>
  <si>
    <t>Итого по "Окрас цех"</t>
  </si>
  <si>
    <t>Цех подготовки произв-ва</t>
  </si>
  <si>
    <t>Св-ые выпрямители ВС</t>
  </si>
  <si>
    <t>17-55</t>
  </si>
  <si>
    <t>Итого по "Цех подг-ки пр-ва"</t>
  </si>
  <si>
    <t>13,9-195</t>
  </si>
  <si>
    <t>380-1600</t>
  </si>
  <si>
    <t>Итого по Предприятию</t>
  </si>
  <si>
    <t>7,5-1600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</si>
</sst>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 applyBorder="1"/>
    <xf numFmtId="0" fontId="0" fillId="2" borderId="0" xfId="0" applyNumberFormat="1" applyFill="1" applyBorder="1"/>
    <xf numFmtId="0" fontId="0" fillId="3" borderId="0" xfId="0" applyFill="1" applyBorder="1"/>
    <xf numFmtId="0" fontId="0" fillId="3" borderId="0" xfId="0" applyNumberFormat="1" applyFill="1" applyBorder="1"/>
    <xf numFmtId="0" fontId="0" fillId="0" borderId="0" xfId="0" applyFill="1"/>
    <xf numFmtId="0" fontId="0" fillId="4" borderId="0" xfId="0" applyFill="1"/>
    <xf numFmtId="0" fontId="0" fillId="4" borderId="0" xfId="0" applyNumberFormat="1" applyFill="1"/>
    <xf numFmtId="0" fontId="0" fillId="4" borderId="0" xfId="0" applyFill="1" applyBorder="1"/>
    <xf numFmtId="0" fontId="0" fillId="4" borderId="0" xfId="0" applyNumberFormat="1" applyFill="1" applyBorder="1"/>
    <xf numFmtId="0" fontId="0" fillId="5" borderId="0" xfId="0" applyFill="1"/>
    <xf numFmtId="0" fontId="0" fillId="6" borderId="0" xfId="0" applyFill="1"/>
    <xf numFmtId="0" fontId="0" fillId="6" borderId="0" xfId="0" applyFill="1" applyBorder="1"/>
    <xf numFmtId="0" fontId="0" fillId="6" borderId="0" xfId="0" applyNumberForma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1" xfId="0" applyFill="1" applyBorder="1"/>
    <xf numFmtId="0" fontId="0" fillId="0" borderId="1" xfId="0" applyNumberFormat="1" applyFill="1" applyBorder="1"/>
    <xf numFmtId="0" fontId="0" fillId="0" borderId="6" xfId="0" applyNumberFormat="1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8" xfId="0" applyNumberFormat="1" applyFill="1" applyBorder="1"/>
    <xf numFmtId="0" fontId="0" fillId="0" borderId="9" xfId="0" applyNumberFormat="1" applyFill="1" applyBorder="1"/>
  </cellXfs>
  <cellStyles count="1">
    <cellStyle name="Обычный" xfId="0" builtinId="0"/>
  </cellStyles>
  <dxfs count="37">
    <dxf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  <vertical/>
        <horizontal/>
      </border>
    </dxf>
    <dxf>
      <border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indexed="65"/>
        </patternFill>
      </fill>
    </dxf>
    <dxf>
      <numFmt numFmtId="0" formatCode="General"/>
      <fill>
        <patternFill patternType="solid">
          <fgColor indexed="64"/>
          <bgColor theme="0"/>
        </patternFill>
      </fill>
    </dxf>
    <dxf>
      <numFmt numFmtId="0" formatCode="General"/>
      <fill>
        <patternFill patternType="solid">
          <fgColor indexed="64"/>
          <bgColor theme="0"/>
        </patternFill>
      </fill>
    </dxf>
    <dxf>
      <numFmt numFmtId="0" formatCode="General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numFmt numFmtId="0" formatCode="General"/>
      <fill>
        <patternFill patternType="solid">
          <fgColor indexed="64"/>
          <bgColor theme="0"/>
        </patternFill>
      </fill>
    </dxf>
    <dxf>
      <numFmt numFmtId="0" formatCode="General"/>
      <fill>
        <patternFill patternType="solid">
          <fgColor indexed="64"/>
          <bgColor theme="0"/>
        </patternFill>
      </fill>
    </dxf>
    <dxf>
      <numFmt numFmtId="0" formatCode="General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rgb="FF92D05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1:O46" totalsRowShown="0" headerRowDxfId="36" dataDxfId="35">
  <autoFilter ref="A1:O46"/>
  <tableColumns count="15">
    <tableColumn id="1" name="Наименование групп электроприемников и узлов питания" dataDxfId="34"/>
    <tableColumn id="2" name="n" dataDxfId="33"/>
    <tableColumn id="3" name="Рн мин-Рн макс, кВт" dataDxfId="32"/>
    <tableColumn id="4" name="Сумма Рн, кВт" dataDxfId="31"/>
    <tableColumn id="5" name="m" dataDxfId="30"/>
    <tableColumn id="6" name="Ки" dataDxfId="29"/>
    <tableColumn id="7" name="cosy" dataDxfId="28"/>
    <tableColumn id="8" name="tgy" dataDxfId="27"/>
    <tableColumn id="9" name="Рсм, кВт" dataDxfId="26">
      <calculatedColumnFormula>Таблица1[[#This Row],[Ки]]*Таблица1[[#This Row],[Сумма Рн, кВт]]</calculatedColumnFormula>
    </tableColumn>
    <tableColumn id="10" name="Qсм, квар" dataDxfId="25">
      <calculatedColumnFormula>Таблица1[[#This Row],[Рсм, кВт]]*Таблица1[[#This Row],[tgy]]</calculatedColumnFormula>
    </tableColumn>
    <tableColumn id="11" name="nэ" dataDxfId="24">
      <calculatedColumnFormula>2*Таблица1[[#This Row],[Сумма Рн, кВт]]/50.6</calculatedColumnFormula>
    </tableColumn>
    <tableColumn id="12" name="Кр(Ко)" dataDxfId="23"/>
    <tableColumn id="13" name="Рр, кВт" dataDxfId="22">
      <calculatedColumnFormula>Таблица1[[#This Row],[Рсм, кВт]]</calculatedColumnFormula>
    </tableColumn>
    <tableColumn id="14" name="Qр, квар" dataDxfId="21">
      <calculatedColumnFormula>Таблица1[[#This Row],[Qсм, квар]]</calculatedColumnFormula>
    </tableColumn>
    <tableColumn id="15" name="Sр, кВА" dataDxfId="20">
      <calculatedColumnFormula>SQRT(Таблица1[[#This Row],[Рр, кВт]]*Таблица1[[#This Row],[Рр, кВт]]+Таблица1[[#This Row],[Qр, квар]]*Таблица1[[#This Row],[Qр, квар]])</calculatedColumnFormula>
    </tableColumn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2" name="Таблица13" displayName="Таблица13" ref="A1:O46" totalsRowShown="0" headerRowDxfId="0" dataDxfId="19" headerRowBorderDxfId="17" tableBorderDxfId="18" totalsRowBorderDxfId="16">
  <autoFilter ref="A1:O46"/>
  <tableColumns count="15">
    <tableColumn id="1" name="Наименование групп электроприемников и узлов питания" dataDxfId="15"/>
    <tableColumn id="2" name="n" dataDxfId="14"/>
    <tableColumn id="3" name="Рн мин-Рн макс, кВт" dataDxfId="13"/>
    <tableColumn id="4" name="Сумма Рн, кВт" dataDxfId="12"/>
    <tableColumn id="5" name="m" dataDxfId="11"/>
    <tableColumn id="6" name="Ки" dataDxfId="10"/>
    <tableColumn id="7" name="cosy" dataDxfId="9"/>
    <tableColumn id="8" name="tgy" dataDxfId="8"/>
    <tableColumn id="9" name="Рсм, кВт" dataDxfId="7">
      <calculatedColumnFormula>Таблица13[[#This Row],[Ки]]*Таблица13[[#This Row],[Сумма Рн, кВт]]</calculatedColumnFormula>
    </tableColumn>
    <tableColumn id="10" name="Qсм, квар" dataDxfId="6">
      <calculatedColumnFormula>Таблица13[[#This Row],[Рсм, кВт]]*Таблица13[[#This Row],[tgy]]</calculatedColumnFormula>
    </tableColumn>
    <tableColumn id="11" name="nэ" dataDxfId="5">
      <calculatedColumnFormula>2*Таблица13[[#This Row],[Сумма Рн, кВт]]/50.6</calculatedColumnFormula>
    </tableColumn>
    <tableColumn id="12" name="Кр(Ко)" dataDxfId="4"/>
    <tableColumn id="13" name="Рр, кВт" dataDxfId="3">
      <calculatedColumnFormula>Таблица13[[#This Row],[Рсм, кВт]]</calculatedColumnFormula>
    </tableColumn>
    <tableColumn id="14" name="Qр, квар" dataDxfId="2">
      <calculatedColumnFormula>Таблица13[[#This Row],[Qсм, квар]]</calculatedColumnFormula>
    </tableColumn>
    <tableColumn id="15" name="Sр, кВА" dataDxfId="1">
      <calculatedColumnFormula>SQRT(Таблица13[[#This Row],[Рр, кВт]]*Таблица13[[#This Row],[Рр, кВт]]+Таблица13[[#This Row],[Qр, квар]]*Таблица13[[#This Row],[Qр, квар]])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5437C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opLeftCell="H11" workbookViewId="0">
      <selection sqref="A1:O46"/>
    </sheetView>
  </sheetViews>
  <sheetFormatPr defaultRowHeight="15"/>
  <cols>
    <col min="1" max="1" width="25.28515625" customWidth="1"/>
    <col min="3" max="3" width="21.5703125" customWidth="1"/>
    <col min="4" max="4" width="16.140625" customWidth="1"/>
    <col min="5" max="5" width="6.5703125" customWidth="1"/>
    <col min="6" max="6" width="7.5703125" customWidth="1"/>
    <col min="9" max="9" width="10.7109375" customWidth="1"/>
    <col min="10" max="10" width="12.140625" customWidth="1"/>
    <col min="13" max="13" width="9.42578125" customWidth="1"/>
    <col min="14" max="14" width="10.85546875" customWidth="1"/>
    <col min="15" max="15" width="9.7109375" customWidth="1"/>
  </cols>
  <sheetData>
    <row r="1" spans="1:15" s="5" customForma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9</v>
      </c>
      <c r="J1" s="10" t="s">
        <v>8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</row>
    <row r="2" spans="1:15" s="5" customFormat="1">
      <c r="A2" s="6" t="s">
        <v>15</v>
      </c>
      <c r="B2" s="6"/>
      <c r="C2" s="6"/>
      <c r="D2" s="6"/>
      <c r="E2" s="6"/>
      <c r="F2" s="6"/>
      <c r="G2" s="6"/>
      <c r="H2" s="6"/>
      <c r="I2" s="7"/>
      <c r="J2" s="7"/>
      <c r="K2" s="7"/>
      <c r="L2" s="6"/>
      <c r="M2" s="7"/>
      <c r="N2" s="7"/>
      <c r="O2" s="7"/>
    </row>
    <row r="3" spans="1:15" s="5" customFormat="1">
      <c r="A3" s="8" t="s">
        <v>16</v>
      </c>
      <c r="B3" s="8">
        <v>40</v>
      </c>
      <c r="C3" s="8" t="s">
        <v>17</v>
      </c>
      <c r="D3" s="8">
        <v>1812.5</v>
      </c>
      <c r="E3" s="8">
        <v>10</v>
      </c>
      <c r="F3" s="8">
        <v>0.2</v>
      </c>
      <c r="G3" s="8">
        <v>0.5</v>
      </c>
      <c r="H3" s="8">
        <v>1.73</v>
      </c>
      <c r="I3" s="9">
        <f>Таблица1[[#This Row],[Ки]]*Таблица1[[#This Row],[Сумма Рн, кВт]]</f>
        <v>362.5</v>
      </c>
      <c r="J3" s="9">
        <f>Таблица1[[#This Row],[Рсм, кВт]]*Таблица1[[#This Row],[tgy]]</f>
        <v>627.125</v>
      </c>
      <c r="K3" s="9"/>
      <c r="L3" s="8"/>
      <c r="M3" s="9"/>
      <c r="N3" s="9"/>
      <c r="O3" s="9"/>
    </row>
    <row r="4" spans="1:15" s="5" customFormat="1">
      <c r="A4" s="8" t="s">
        <v>18</v>
      </c>
      <c r="B4" s="8">
        <v>9</v>
      </c>
      <c r="C4" s="8" t="s">
        <v>19</v>
      </c>
      <c r="D4" s="8">
        <v>203</v>
      </c>
      <c r="E4" s="8">
        <v>5.3</v>
      </c>
      <c r="F4" s="8">
        <v>0.8</v>
      </c>
      <c r="G4" s="8">
        <v>0.8</v>
      </c>
      <c r="H4" s="8">
        <v>0.75</v>
      </c>
      <c r="I4" s="9">
        <f>Таблица1[[#This Row],[Ки]]*Таблица1[[#This Row],[Сумма Рн, кВт]]</f>
        <v>162.4</v>
      </c>
      <c r="J4" s="9">
        <f>Таблица1[[#This Row],[Рсм, кВт]]*Таблица1[[#This Row],[tgy]]</f>
        <v>121.80000000000001</v>
      </c>
      <c r="K4" s="9"/>
      <c r="L4" s="8"/>
      <c r="M4" s="9"/>
      <c r="N4" s="9"/>
      <c r="O4" s="9"/>
    </row>
    <row r="5" spans="1:15" s="5" customFormat="1">
      <c r="A5" s="8" t="s">
        <v>20</v>
      </c>
      <c r="B5" s="8">
        <v>4</v>
      </c>
      <c r="C5" s="8" t="s">
        <v>21</v>
      </c>
      <c r="D5" s="8">
        <v>148</v>
      </c>
      <c r="E5" s="8">
        <v>2.2000000000000002</v>
      </c>
      <c r="F5" s="8">
        <v>0.3</v>
      </c>
      <c r="G5" s="8">
        <v>0.5</v>
      </c>
      <c r="H5" s="8">
        <v>1.73</v>
      </c>
      <c r="I5" s="9">
        <f>Таблица1[[#This Row],[Ки]]*Таблица1[[#This Row],[Сумма Рн, кВт]]</f>
        <v>44.4</v>
      </c>
      <c r="J5" s="9">
        <f>Таблица1[[#This Row],[Рсм, кВт]]*Таблица1[[#This Row],[tgy]]</f>
        <v>76.811999999999998</v>
      </c>
      <c r="K5" s="9"/>
      <c r="L5" s="8"/>
      <c r="M5" s="9"/>
      <c r="N5" s="9"/>
      <c r="O5" s="9"/>
    </row>
    <row r="6" spans="1:15" s="5" customFormat="1">
      <c r="A6" s="8" t="s">
        <v>22</v>
      </c>
      <c r="B6" s="8">
        <v>7</v>
      </c>
      <c r="C6" s="8" t="s">
        <v>23</v>
      </c>
      <c r="D6" s="8">
        <v>117.6</v>
      </c>
      <c r="E6" s="8">
        <v>1.365</v>
      </c>
      <c r="F6" s="8">
        <v>0.2</v>
      </c>
      <c r="G6" s="8">
        <v>0.4</v>
      </c>
      <c r="H6" s="8">
        <v>2.29</v>
      </c>
      <c r="I6" s="9">
        <f>Таблица1[[#This Row],[Ки]]*Таблица1[[#This Row],[Сумма Рн, кВт]]</f>
        <v>23.52</v>
      </c>
      <c r="J6" s="9">
        <f>Таблица1[[#This Row],[Рсм, кВт]]*Таблица1[[#This Row],[tgy]]</f>
        <v>53.860799999999998</v>
      </c>
      <c r="K6" s="9"/>
      <c r="L6" s="8"/>
      <c r="M6" s="9"/>
      <c r="N6" s="9"/>
      <c r="O6" s="9"/>
    </row>
    <row r="7" spans="1:15" s="5" customFormat="1">
      <c r="A7" s="1" t="s">
        <v>40</v>
      </c>
      <c r="B7" s="1">
        <f>B3+B4+B5+B6</f>
        <v>60</v>
      </c>
      <c r="C7" s="1" t="s">
        <v>25</v>
      </c>
      <c r="D7" s="1">
        <f>D3+D4+D5+D6</f>
        <v>2281.1</v>
      </c>
      <c r="E7" s="1">
        <f>50.6/7.5</f>
        <v>6.746666666666667</v>
      </c>
      <c r="F7" s="1">
        <f>Таблица1[[#This Row],[Рсм, кВт]]/Таблица1[[#This Row],[Сумма Рн, кВт]]</f>
        <v>0.25988338959274032</v>
      </c>
      <c r="G7" s="1">
        <v>0.56000000000000005</v>
      </c>
      <c r="H7" s="1">
        <f>Таблица1[[#This Row],[Qсм, квар]]/Таблица1[[#This Row],[Рсм, кВт]]</f>
        <v>1.4837518977092543</v>
      </c>
      <c r="I7" s="2">
        <f>I3+I4+I5+I6</f>
        <v>592.81999999999994</v>
      </c>
      <c r="J7" s="2">
        <f>J3+J4+J5+J6</f>
        <v>879.59780000000001</v>
      </c>
      <c r="K7" s="2">
        <v>60</v>
      </c>
      <c r="L7" s="1">
        <v>1</v>
      </c>
      <c r="M7" s="2">
        <f>Таблица1[[#This Row],[Рсм, кВт]]</f>
        <v>592.81999999999994</v>
      </c>
      <c r="N7" s="2">
        <f>Таблица1[[#This Row],[Qсм, квар]]</f>
        <v>879.59780000000001</v>
      </c>
      <c r="O7" s="2">
        <f>SQRT(Таблица1[[#This Row],[Рр, кВт]]*Таблица1[[#This Row],[Рр, кВт]]+Таблица1[[#This Row],[Qр, квар]]*Таблица1[[#This Row],[Qр, квар]])</f>
        <v>1060.7204354422706</v>
      </c>
    </row>
    <row r="8" spans="1:15" s="5" customFormat="1">
      <c r="A8" s="6"/>
      <c r="B8" s="6"/>
      <c r="C8" s="6"/>
      <c r="D8" s="6"/>
      <c r="E8" s="6"/>
      <c r="F8" s="6"/>
      <c r="G8" s="6"/>
      <c r="H8" s="6"/>
      <c r="I8" s="7"/>
      <c r="J8" s="9"/>
      <c r="K8" s="7"/>
      <c r="L8" s="6"/>
      <c r="M8" s="7"/>
      <c r="N8" s="7"/>
      <c r="O8" s="7"/>
    </row>
    <row r="9" spans="1:15" s="5" customFormat="1">
      <c r="A9" s="6" t="s">
        <v>24</v>
      </c>
      <c r="B9" s="6"/>
      <c r="C9" s="6"/>
      <c r="D9" s="6"/>
      <c r="E9" s="6"/>
      <c r="F9" s="6"/>
      <c r="G9" s="6"/>
      <c r="H9" s="6"/>
      <c r="I9" s="7"/>
      <c r="J9" s="9"/>
      <c r="K9" s="7"/>
      <c r="L9" s="6"/>
      <c r="M9" s="7"/>
      <c r="N9" s="7"/>
      <c r="O9" s="7"/>
    </row>
    <row r="10" spans="1:15" s="5" customFormat="1">
      <c r="A10" s="6" t="s">
        <v>26</v>
      </c>
      <c r="B10" s="6">
        <v>17</v>
      </c>
      <c r="C10" s="6">
        <v>126.49</v>
      </c>
      <c r="D10" s="6">
        <f>C10*B10</f>
        <v>2150.33</v>
      </c>
      <c r="E10" s="6">
        <v>1</v>
      </c>
      <c r="F10" s="6">
        <v>0.2</v>
      </c>
      <c r="G10" s="6">
        <v>0.4</v>
      </c>
      <c r="H10" s="6">
        <v>2.29</v>
      </c>
      <c r="I10" s="7">
        <f>Таблица1[[#This Row],[Ки]]*Таблица1[[#This Row],[Сумма Рн, кВт]]</f>
        <v>430.06600000000003</v>
      </c>
      <c r="J10" s="9">
        <f>Таблица1[[#This Row],[Рсм, кВт]]*Таблица1[[#This Row],[tgy]]</f>
        <v>984.8511400000001</v>
      </c>
      <c r="K10" s="7"/>
      <c r="L10" s="6"/>
      <c r="M10" s="7"/>
      <c r="N10" s="7"/>
      <c r="O10" s="7"/>
    </row>
    <row r="11" spans="1:15" s="5" customFormat="1">
      <c r="A11" s="6" t="s">
        <v>27</v>
      </c>
      <c r="B11" s="6">
        <v>11</v>
      </c>
      <c r="C11" s="6">
        <v>18.97</v>
      </c>
      <c r="D11" s="6">
        <f>C11*B11</f>
        <v>208.67</v>
      </c>
      <c r="E11" s="6">
        <v>1</v>
      </c>
      <c r="F11" s="6">
        <v>0.2</v>
      </c>
      <c r="G11" s="6">
        <v>0.4</v>
      </c>
      <c r="H11" s="6">
        <v>2.29</v>
      </c>
      <c r="I11" s="7">
        <f>Таблица1[[#This Row],[Ки]]*Таблица1[[#This Row],[Сумма Рн, кВт]]</f>
        <v>41.734000000000002</v>
      </c>
      <c r="J11" s="9">
        <f>Таблица1[[#This Row],[Рсм, кВт]]*Таблица1[[#This Row],[tgy]]</f>
        <v>95.57086000000001</v>
      </c>
      <c r="K11" s="7"/>
      <c r="L11" s="6"/>
      <c r="M11" s="7"/>
      <c r="N11" s="7"/>
      <c r="O11" s="7"/>
    </row>
    <row r="12" spans="1:15" s="5" customFormat="1">
      <c r="A12" s="8" t="s">
        <v>20</v>
      </c>
      <c r="B12" s="8">
        <v>4</v>
      </c>
      <c r="C12" s="8">
        <v>50.6</v>
      </c>
      <c r="D12" s="6">
        <f>C12*B12</f>
        <v>202.4</v>
      </c>
      <c r="E12" s="8">
        <v>1</v>
      </c>
      <c r="F12" s="8">
        <v>0.2</v>
      </c>
      <c r="G12" s="8">
        <v>0.5</v>
      </c>
      <c r="H12" s="8">
        <v>1.73</v>
      </c>
      <c r="I12" s="7">
        <f>Таблица1[[#This Row],[Ки]]*Таблица1[[#This Row],[Сумма Рн, кВт]]</f>
        <v>40.480000000000004</v>
      </c>
      <c r="J12" s="9">
        <f>Таблица1[[#This Row],[Рсм, кВт]]*Таблица1[[#This Row],[tgy]]</f>
        <v>70.0304</v>
      </c>
      <c r="K12" s="9"/>
      <c r="L12" s="8"/>
      <c r="M12" s="9"/>
      <c r="N12" s="9"/>
      <c r="O12" s="9"/>
    </row>
    <row r="13" spans="1:15" s="5" customFormat="1">
      <c r="A13" s="8" t="s">
        <v>18</v>
      </c>
      <c r="B13" s="8">
        <v>8</v>
      </c>
      <c r="C13" s="8" t="s">
        <v>28</v>
      </c>
      <c r="D13" s="8">
        <v>359</v>
      </c>
      <c r="E13" s="8">
        <v>3.57</v>
      </c>
      <c r="F13" s="8">
        <v>0.7</v>
      </c>
      <c r="G13" s="8">
        <v>0.8</v>
      </c>
      <c r="H13" s="8">
        <v>0.75</v>
      </c>
      <c r="I13" s="9">
        <f>Таблица1[[#This Row],[Ки]]*Таблица1[[#This Row],[Сумма Рн, кВт]]</f>
        <v>251.29999999999998</v>
      </c>
      <c r="J13" s="9">
        <f>Таблица1[[#This Row],[Рсм, кВт]]*Таблица1[[#This Row],[tgy]]</f>
        <v>188.47499999999999</v>
      </c>
      <c r="K13" s="9"/>
      <c r="L13" s="8"/>
      <c r="M13" s="9"/>
      <c r="N13" s="9"/>
      <c r="O13" s="9"/>
    </row>
    <row r="14" spans="1:15" s="5" customFormat="1">
      <c r="A14" s="8" t="s">
        <v>29</v>
      </c>
      <c r="B14" s="8">
        <v>7</v>
      </c>
      <c r="C14" s="8" t="s">
        <v>30</v>
      </c>
      <c r="D14" s="8">
        <v>325</v>
      </c>
      <c r="E14" s="8">
        <v>1.375</v>
      </c>
      <c r="F14" s="8">
        <v>0.7</v>
      </c>
      <c r="G14" s="8">
        <v>0.8</v>
      </c>
      <c r="H14" s="8">
        <v>0.75</v>
      </c>
      <c r="I14" s="9">
        <f>Таблица1[[#This Row],[Ки]]*Таблица1[[#This Row],[Сумма Рн, кВт]]</f>
        <v>227.49999999999997</v>
      </c>
      <c r="J14" s="9">
        <f>Таблица1[[#This Row],[Рсм, кВт]]*Таблица1[[#This Row],[tgy]]</f>
        <v>170.62499999999997</v>
      </c>
      <c r="K14" s="9"/>
      <c r="L14" s="8"/>
      <c r="M14" s="9"/>
      <c r="N14" s="9"/>
      <c r="O14" s="9"/>
    </row>
    <row r="15" spans="1:15" s="5" customFormat="1">
      <c r="A15" s="8" t="s">
        <v>31</v>
      </c>
      <c r="B15" s="8">
        <v>4</v>
      </c>
      <c r="C15" s="8">
        <v>125</v>
      </c>
      <c r="D15" s="8">
        <f>Таблица1[[#This Row],[Рн мин-Рн макс, кВт]]*Таблица1[[#This Row],[n]]</f>
        <v>500</v>
      </c>
      <c r="E15" s="8">
        <v>1</v>
      </c>
      <c r="F15" s="8">
        <v>0.46</v>
      </c>
      <c r="G15" s="8">
        <v>0.85</v>
      </c>
      <c r="H15" s="8">
        <v>0.62</v>
      </c>
      <c r="I15" s="9">
        <f>Таблица1[[#This Row],[Ки]]*Таблица1[[#This Row],[Сумма Рн, кВт]]</f>
        <v>230</v>
      </c>
      <c r="J15" s="9">
        <f>Таблица1[[#This Row],[Рсм, кВт]]*Таблица1[[#This Row],[tgy]]</f>
        <v>142.6</v>
      </c>
      <c r="K15" s="9"/>
      <c r="L15" s="8"/>
      <c r="M15" s="9"/>
      <c r="N15" s="9"/>
      <c r="O15" s="9"/>
    </row>
    <row r="16" spans="1:15" s="5" customFormat="1">
      <c r="A16" s="1" t="s">
        <v>39</v>
      </c>
      <c r="B16" s="1">
        <f>B10+B11+B12+B13+B14+B15</f>
        <v>51</v>
      </c>
      <c r="C16" s="1" t="s">
        <v>32</v>
      </c>
      <c r="D16" s="1">
        <f>D10+D11+D12+D13+D14+D15</f>
        <v>3745.4</v>
      </c>
      <c r="E16" s="1">
        <v>6.67</v>
      </c>
      <c r="F16" s="1">
        <f>Таблица1[[#This Row],[Рсм, кВт]]/Таблица1[[#This Row],[Сумма Рн, кВт]]</f>
        <v>0.3260212527366903</v>
      </c>
      <c r="G16" s="1">
        <v>0.6</v>
      </c>
      <c r="H16" s="1">
        <f>Таблица1[[#This Row],[Qсм, квар]]/Таблица1[[#This Row],[Рсм, кВт]]</f>
        <v>1.3530255183935533</v>
      </c>
      <c r="I16" s="2">
        <f>I10+I11+I12+I13+I14+I15</f>
        <v>1221.08</v>
      </c>
      <c r="J16" s="2">
        <f>J10+J11+J12+J13+J14+J15</f>
        <v>1652.1523999999999</v>
      </c>
      <c r="K16" s="2">
        <v>51</v>
      </c>
      <c r="L16" s="1">
        <v>1</v>
      </c>
      <c r="M16" s="2">
        <f>Таблица1[[#This Row],[Рсм, кВт]]</f>
        <v>1221.08</v>
      </c>
      <c r="N16" s="2">
        <f>Таблица1[[#This Row],[Qсм, квар]]</f>
        <v>1652.1523999999999</v>
      </c>
      <c r="O16" s="2">
        <f>SQRT(Таблица1[[#This Row],[Рр, кВт]]*Таблица1[[#This Row],[Рр, кВт]]+Таблица1[[#This Row],[Qр, квар]]*Таблица1[[#This Row],[Qр, квар]])</f>
        <v>2054.4205799265542</v>
      </c>
    </row>
    <row r="17" spans="1:15" s="5" customFormat="1">
      <c r="A17" s="8"/>
      <c r="B17" s="8"/>
      <c r="C17" s="8"/>
      <c r="D17" s="8"/>
      <c r="E17" s="8"/>
      <c r="F17" s="8"/>
      <c r="G17" s="8"/>
      <c r="H17" s="8"/>
      <c r="I17" s="9"/>
      <c r="J17" s="9"/>
      <c r="K17" s="9"/>
      <c r="L17" s="8"/>
      <c r="M17" s="9"/>
      <c r="N17" s="9"/>
      <c r="O17" s="9"/>
    </row>
    <row r="18" spans="1:15" s="5" customFormat="1">
      <c r="A18" s="8" t="s">
        <v>33</v>
      </c>
      <c r="B18" s="8"/>
      <c r="C18" s="8"/>
      <c r="D18" s="8"/>
      <c r="E18" s="8"/>
      <c r="F18" s="8"/>
      <c r="G18" s="8"/>
      <c r="H18" s="8"/>
      <c r="I18" s="9"/>
      <c r="J18" s="9"/>
      <c r="K18" s="9"/>
      <c r="L18" s="8"/>
      <c r="M18" s="9"/>
      <c r="N18" s="9"/>
      <c r="O18" s="9"/>
    </row>
    <row r="19" spans="1:15" s="5" customFormat="1">
      <c r="A19" s="8" t="s">
        <v>34</v>
      </c>
      <c r="B19" s="8">
        <v>4</v>
      </c>
      <c r="C19" s="8">
        <v>350</v>
      </c>
      <c r="D19" s="8">
        <f>Таблица1[[#This Row],[n]]*Таблица1[[#This Row],[Рн мин-Рн макс, кВт]]</f>
        <v>1400</v>
      </c>
      <c r="E19" s="8">
        <v>1</v>
      </c>
      <c r="F19" s="8">
        <v>0.75</v>
      </c>
      <c r="G19" s="8">
        <v>0.87</v>
      </c>
      <c r="H19" s="8">
        <v>0.56699999999999995</v>
      </c>
      <c r="I19" s="9">
        <f>Таблица1[[#This Row],[Ки]]*Таблица1[[#This Row],[Сумма Рн, кВт]]</f>
        <v>1050</v>
      </c>
      <c r="J19" s="9">
        <f>Таблица1[[#This Row],[Рсм, кВт]]*Таблица1[[#This Row],[tgy]]</f>
        <v>595.34999999999991</v>
      </c>
      <c r="K19" s="9"/>
      <c r="L19" s="8"/>
      <c r="M19" s="9"/>
      <c r="N19" s="9"/>
      <c r="O19" s="9"/>
    </row>
    <row r="20" spans="1:15" s="5" customFormat="1">
      <c r="A20" s="8" t="s">
        <v>34</v>
      </c>
      <c r="B20" s="8">
        <v>3</v>
      </c>
      <c r="C20" s="8">
        <v>750</v>
      </c>
      <c r="D20" s="8">
        <f>Таблица1[[#This Row],[n]]*Таблица1[[#This Row],[Рн мин-Рн макс, кВт]]</f>
        <v>2250</v>
      </c>
      <c r="E20" s="8">
        <v>1</v>
      </c>
      <c r="F20" s="8">
        <v>0.86</v>
      </c>
      <c r="G20" s="8">
        <v>0.7</v>
      </c>
      <c r="H20" s="8">
        <v>1.02</v>
      </c>
      <c r="I20" s="9">
        <f>Таблица1[[#This Row],[Ки]]*Таблица1[[#This Row],[Сумма Рн, кВт]]</f>
        <v>1935</v>
      </c>
      <c r="J20" s="9">
        <f>Таблица1[[#This Row],[Рсм, кВт]]*Таблица1[[#This Row],[tgy]]</f>
        <v>1973.7</v>
      </c>
      <c r="K20" s="9"/>
      <c r="L20" s="8"/>
      <c r="M20" s="9"/>
      <c r="N20" s="9"/>
      <c r="O20" s="9"/>
    </row>
    <row r="21" spans="1:15" s="5" customFormat="1">
      <c r="A21" s="8" t="s">
        <v>18</v>
      </c>
      <c r="B21" s="8">
        <v>7</v>
      </c>
      <c r="C21" s="8" t="s">
        <v>35</v>
      </c>
      <c r="D21" s="8">
        <f>4*50+3*75</f>
        <v>425</v>
      </c>
      <c r="E21" s="8">
        <f>75/50</f>
        <v>1.5</v>
      </c>
      <c r="F21" s="8">
        <v>0.7</v>
      </c>
      <c r="G21" s="8">
        <v>0.8</v>
      </c>
      <c r="H21" s="8">
        <v>0.75</v>
      </c>
      <c r="I21" s="9">
        <f>Таблица1[[#This Row],[Ки]]*Таблица1[[#This Row],[Сумма Рн, кВт]]</f>
        <v>297.5</v>
      </c>
      <c r="J21" s="9">
        <f>Таблица1[[#This Row],[Рсм, кВт]]*Таблица1[[#This Row],[tgy]]</f>
        <v>223.125</v>
      </c>
      <c r="K21" s="9"/>
      <c r="L21" s="8"/>
      <c r="M21" s="9"/>
      <c r="N21" s="9"/>
      <c r="O21" s="9"/>
    </row>
    <row r="22" spans="1:15" s="5" customFormat="1">
      <c r="A22" s="8" t="s">
        <v>36</v>
      </c>
      <c r="B22" s="8">
        <v>5</v>
      </c>
      <c r="C22" s="8" t="s">
        <v>37</v>
      </c>
      <c r="D22" s="8">
        <f>58.09*2+30.98*3</f>
        <v>209.12</v>
      </c>
      <c r="E22" s="8">
        <f>58.1/31</f>
        <v>1.8741935483870968</v>
      </c>
      <c r="F22" s="8">
        <v>0.2</v>
      </c>
      <c r="G22" s="8">
        <v>0.5</v>
      </c>
      <c r="H22" s="8">
        <v>1.73</v>
      </c>
      <c r="I22" s="9">
        <f>Таблица1[[#This Row],[Ки]]*Таблица1[[#This Row],[Сумма Рн, кВт]]</f>
        <v>41.824000000000005</v>
      </c>
      <c r="J22" s="9">
        <f>Таблица1[[#This Row],[Рсм, кВт]]*Таблица1[[#This Row],[tgy]]</f>
        <v>72.355520000000013</v>
      </c>
      <c r="K22" s="9"/>
      <c r="L22" s="8"/>
      <c r="M22" s="9"/>
      <c r="N22" s="9"/>
      <c r="O22" s="9"/>
    </row>
    <row r="23" spans="1:15" s="5" customFormat="1">
      <c r="A23" s="1" t="s">
        <v>38</v>
      </c>
      <c r="B23" s="1">
        <f>B19+B20+B21+B22</f>
        <v>19</v>
      </c>
      <c r="C23" s="1" t="s">
        <v>41</v>
      </c>
      <c r="D23" s="1">
        <f>D19+D20+D21+D22</f>
        <v>4284.12</v>
      </c>
      <c r="E23" s="1">
        <f>750/31</f>
        <v>24.193548387096776</v>
      </c>
      <c r="F23" s="1">
        <f>Таблица1[[#This Row],[Рсм, кВт]]/Таблица1[[#This Row],[Сумма Рн, кВт]]</f>
        <v>0.77596425870423802</v>
      </c>
      <c r="G23" s="1">
        <v>0.76</v>
      </c>
      <c r="H23" s="1">
        <f>Таблица1[[#This Row],[Qсм, квар]]/Таблица1[[#This Row],[Рсм, кВт]]</f>
        <v>0.86168812666876038</v>
      </c>
      <c r="I23" s="2">
        <f>I19+I20+I21+I22</f>
        <v>3324.3240000000001</v>
      </c>
      <c r="J23" s="2">
        <f>J19+J20+J21+J22</f>
        <v>2864.5305200000003</v>
      </c>
      <c r="K23" s="2">
        <v>11</v>
      </c>
      <c r="L23" s="1">
        <v>1</v>
      </c>
      <c r="M23" s="2">
        <f>Таблица1[[#This Row],[Рсм, кВт]]</f>
        <v>3324.3240000000001</v>
      </c>
      <c r="N23" s="2">
        <f>Таблица1[[#This Row],[Qсм, квар]]</f>
        <v>2864.5305200000003</v>
      </c>
      <c r="O23" s="2">
        <f>SQRT(Таблица1[[#This Row],[Рр, кВт]]*Таблица1[[#This Row],[Рр, кВт]]+Таблица1[[#This Row],[Qр, квар]]*Таблица1[[#This Row],[Qр, квар]])</f>
        <v>4388.2416930916042</v>
      </c>
    </row>
    <row r="24" spans="1:15" s="5" customFormat="1">
      <c r="A24" s="8"/>
      <c r="B24" s="8"/>
      <c r="C24" s="8"/>
      <c r="D24" s="8"/>
      <c r="E24" s="8"/>
      <c r="F24" s="8"/>
      <c r="G24" s="8"/>
      <c r="H24" s="8"/>
      <c r="I24" s="9"/>
      <c r="J24" s="9"/>
      <c r="K24" s="9"/>
      <c r="L24" s="8"/>
      <c r="M24" s="9"/>
      <c r="N24" s="9"/>
      <c r="O24" s="9"/>
    </row>
    <row r="25" spans="1:15" s="5" customFormat="1">
      <c r="A25" s="8" t="s">
        <v>42</v>
      </c>
      <c r="B25" s="8"/>
      <c r="C25" s="8"/>
      <c r="D25" s="8"/>
      <c r="E25" s="8"/>
      <c r="F25" s="8"/>
      <c r="G25" s="8"/>
      <c r="H25" s="8"/>
      <c r="I25" s="9"/>
      <c r="J25" s="9"/>
      <c r="K25" s="9"/>
      <c r="L25" s="8"/>
      <c r="M25" s="9"/>
      <c r="N25" s="9"/>
      <c r="O25" s="9"/>
    </row>
    <row r="26" spans="1:15" s="5" customFormat="1">
      <c r="A26" s="8" t="s">
        <v>43</v>
      </c>
      <c r="B26" s="8">
        <v>4</v>
      </c>
      <c r="C26" s="8">
        <v>1600</v>
      </c>
      <c r="D26" s="8">
        <f>4*1600</f>
        <v>6400</v>
      </c>
      <c r="E26" s="8">
        <v>1</v>
      </c>
      <c r="F26" s="8">
        <v>0.7</v>
      </c>
      <c r="G26" s="8">
        <v>0.8</v>
      </c>
      <c r="H26" s="8">
        <v>0.75</v>
      </c>
      <c r="I26" s="9">
        <f>Таблица1[[#This Row],[Ки]]*Таблица1[[#This Row],[Сумма Рн, кВт]]</f>
        <v>4480</v>
      </c>
      <c r="J26" s="9">
        <f>Таблица1[[#This Row],[Рсм, кВт]]*Таблица1[[#This Row],[tgy]]</f>
        <v>3360</v>
      </c>
      <c r="K26" s="9"/>
      <c r="L26" s="8"/>
      <c r="M26" s="9"/>
      <c r="N26" s="9"/>
      <c r="O26" s="9"/>
    </row>
    <row r="27" spans="1:15" s="5" customFormat="1">
      <c r="A27" s="11" t="s">
        <v>46</v>
      </c>
      <c r="B27" s="12">
        <v>4</v>
      </c>
      <c r="C27" s="12">
        <v>1600</v>
      </c>
      <c r="D27" s="12">
        <v>6400</v>
      </c>
      <c r="E27" s="12">
        <v>1</v>
      </c>
      <c r="F27" s="12">
        <v>0.7</v>
      </c>
      <c r="G27" s="12">
        <v>0.8</v>
      </c>
      <c r="H27" s="12">
        <v>0.75</v>
      </c>
      <c r="I27" s="13">
        <v>4480</v>
      </c>
      <c r="J27" s="13">
        <v>3360</v>
      </c>
      <c r="K27" s="13">
        <f>Таблица1[[#This Row],[Сумма Рн, кВт]]*Таблица1[[#This Row],[Сумма Рн, кВт]]/((1600*1600)*4)</f>
        <v>4</v>
      </c>
      <c r="L27" s="12">
        <v>1</v>
      </c>
      <c r="M27" s="13">
        <f>Таблица1[[#This Row],[Рсм, кВт]]</f>
        <v>4480</v>
      </c>
      <c r="N27" s="13">
        <f>1.1*Таблица1[[#This Row],[Qсм, квар]]</f>
        <v>3696.0000000000005</v>
      </c>
      <c r="O27" s="13">
        <f>SQRT(Таблица1[[#This Row],[Рр, кВт]]*Таблица1[[#This Row],[Рр, кВт]]+Таблица1[[#This Row],[Qр, квар]]*Таблица1[[#This Row],[Qр, квар]])</f>
        <v>5807.8236887839494</v>
      </c>
    </row>
    <row r="28" spans="1:15" s="5" customFormat="1">
      <c r="A28" s="8" t="s">
        <v>44</v>
      </c>
      <c r="B28" s="8">
        <v>1</v>
      </c>
      <c r="C28" s="8">
        <v>380</v>
      </c>
      <c r="D28" s="8">
        <v>380</v>
      </c>
      <c r="E28" s="8">
        <v>1</v>
      </c>
      <c r="F28" s="8">
        <v>0.8</v>
      </c>
      <c r="G28" s="8">
        <v>0.88</v>
      </c>
      <c r="H28" s="8">
        <v>0.54</v>
      </c>
      <c r="I28" s="9">
        <f>Таблица1[[#This Row],[Ки]]*Таблица1[[#This Row],[Сумма Рн, кВт]]</f>
        <v>304</v>
      </c>
      <c r="J28" s="9">
        <f>Таблица1[[#This Row],[Рсм, кВт]]*Таблица1[[#This Row],[tgy]]</f>
        <v>164.16000000000003</v>
      </c>
      <c r="K28" s="9"/>
      <c r="L28" s="8"/>
      <c r="M28" s="9"/>
      <c r="N28" s="9"/>
      <c r="O28" s="9"/>
    </row>
    <row r="29" spans="1:15" s="5" customFormat="1">
      <c r="A29" s="11" t="s">
        <v>47</v>
      </c>
      <c r="B29" s="12">
        <v>1</v>
      </c>
      <c r="C29" s="12">
        <v>380</v>
      </c>
      <c r="D29" s="12">
        <v>380</v>
      </c>
      <c r="E29" s="12">
        <v>1</v>
      </c>
      <c r="F29" s="12">
        <v>0.8</v>
      </c>
      <c r="G29" s="12">
        <v>0.88</v>
      </c>
      <c r="H29" s="12">
        <v>0.54</v>
      </c>
      <c r="I29" s="13">
        <v>304</v>
      </c>
      <c r="J29" s="13">
        <v>164.16</v>
      </c>
      <c r="K29" s="13">
        <v>1</v>
      </c>
      <c r="L29" s="12">
        <v>1</v>
      </c>
      <c r="M29" s="13">
        <f>Таблица1[[#This Row],[Рсм, кВт]]</f>
        <v>304</v>
      </c>
      <c r="N29" s="13">
        <f>1.1*Таблица1[[#This Row],[Qсм, квар]]</f>
        <v>180.57600000000002</v>
      </c>
      <c r="O29" s="13">
        <f>SQRT(Таблица1[[#This Row],[Рр, кВт]]*Таблица1[[#This Row],[Рр, кВт]]+Таблица1[[#This Row],[Qр, квар]]*Таблица1[[#This Row],[Qр, квар]])</f>
        <v>353.58689423676327</v>
      </c>
    </row>
    <row r="30" spans="1:15" s="5" customFormat="1">
      <c r="A30" s="1" t="s">
        <v>45</v>
      </c>
      <c r="B30" s="1">
        <f>B27+B29</f>
        <v>5</v>
      </c>
      <c r="C30" s="1" t="s">
        <v>57</v>
      </c>
      <c r="D30" s="1">
        <f>D27+D29</f>
        <v>6780</v>
      </c>
      <c r="E30" s="1">
        <f>1600/380</f>
        <v>4.2105263157894735</v>
      </c>
      <c r="F30" s="1">
        <f>Таблица1[[#This Row],[Рсм, кВт]]/Таблица1[[#This Row],[Сумма Рн, кВт]]</f>
        <v>0.70560471976401185</v>
      </c>
      <c r="G30" s="1">
        <v>0.80500000000000005</v>
      </c>
      <c r="H30" s="1">
        <f>Таблица1[[#This Row],[Qсм, квар]]/Таблица1[[#This Row],[Рсм, кВт]]</f>
        <v>0.73665551839464882</v>
      </c>
      <c r="I30" s="2">
        <f>I27+I29</f>
        <v>4784</v>
      </c>
      <c r="J30" s="2">
        <f>J27+J29</f>
        <v>3524.16</v>
      </c>
      <c r="K30" s="2"/>
      <c r="L30" s="1"/>
      <c r="M30" s="2">
        <f>M27+M29</f>
        <v>4784</v>
      </c>
      <c r="N30" s="2">
        <f>N27+N29</f>
        <v>3876.5760000000005</v>
      </c>
      <c r="O30" s="2">
        <f>O27+O29</f>
        <v>6161.4105830207127</v>
      </c>
    </row>
    <row r="31" spans="1:15" s="5" customFormat="1">
      <c r="A31" s="8"/>
      <c r="B31" s="8"/>
      <c r="C31" s="8"/>
      <c r="D31" s="8"/>
      <c r="E31" s="8"/>
      <c r="F31" s="8"/>
      <c r="G31" s="8"/>
      <c r="H31" s="8"/>
      <c r="I31" s="9"/>
      <c r="J31" s="9"/>
      <c r="K31" s="9"/>
      <c r="L31" s="8"/>
      <c r="M31" s="9"/>
      <c r="N31" s="9"/>
      <c r="O31" s="9"/>
    </row>
    <row r="32" spans="1:15" s="5" customFormat="1">
      <c r="A32" s="8" t="s">
        <v>48</v>
      </c>
      <c r="B32" s="8"/>
      <c r="C32" s="8"/>
      <c r="D32" s="8"/>
      <c r="E32" s="8"/>
      <c r="F32" s="8"/>
      <c r="G32" s="8"/>
      <c r="H32" s="8"/>
      <c r="I32" s="9"/>
      <c r="J32" s="9"/>
      <c r="K32" s="9"/>
      <c r="L32" s="8"/>
      <c r="M32" s="9"/>
      <c r="N32" s="9"/>
      <c r="O32" s="9"/>
    </row>
    <row r="33" spans="1:15" s="5" customFormat="1">
      <c r="A33" s="8" t="s">
        <v>49</v>
      </c>
      <c r="B33" s="8">
        <v>17</v>
      </c>
      <c r="C33" s="8">
        <v>75</v>
      </c>
      <c r="D33" s="8">
        <f>75*17</f>
        <v>1275</v>
      </c>
      <c r="E33" s="8">
        <v>1</v>
      </c>
      <c r="F33" s="8">
        <v>0.85</v>
      </c>
      <c r="G33" s="8">
        <v>0.85</v>
      </c>
      <c r="H33" s="8">
        <v>0.62</v>
      </c>
      <c r="I33" s="9">
        <f>Таблица1[[#This Row],[Ки]]*Таблица1[[#This Row],[Сумма Рн, кВт]]</f>
        <v>1083.75</v>
      </c>
      <c r="J33" s="9">
        <f>Таблица1[[#This Row],[Рсм, кВт]]*Таблица1[[#This Row],[tgy]]</f>
        <v>671.92499999999995</v>
      </c>
      <c r="K33" s="9"/>
      <c r="L33" s="8"/>
      <c r="M33" s="9"/>
      <c r="N33" s="9"/>
      <c r="O33" s="9"/>
    </row>
    <row r="34" spans="1:15" s="5" customFormat="1">
      <c r="A34" s="8" t="s">
        <v>50</v>
      </c>
      <c r="B34" s="8">
        <v>3</v>
      </c>
      <c r="C34" s="8">
        <v>21</v>
      </c>
      <c r="D34" s="8">
        <f>3*21</f>
        <v>63</v>
      </c>
      <c r="E34" s="8">
        <v>1</v>
      </c>
      <c r="F34" s="8">
        <v>0.75</v>
      </c>
      <c r="G34" s="8">
        <v>0.75</v>
      </c>
      <c r="H34" s="8">
        <v>0.88200000000000001</v>
      </c>
      <c r="I34" s="9">
        <f>Таблица1[[#This Row],[Ки]]*Таблица1[[#This Row],[Сумма Рн, кВт]]</f>
        <v>47.25</v>
      </c>
      <c r="J34" s="9">
        <f>Таблица1[[#This Row],[Рсм, кВт]]*Таблица1[[#This Row],[tgy]]</f>
        <v>41.674500000000002</v>
      </c>
      <c r="K34" s="9"/>
      <c r="L34" s="8"/>
      <c r="M34" s="9"/>
      <c r="N34" s="9"/>
      <c r="O34" s="9"/>
    </row>
    <row r="35" spans="1:15" s="5" customFormat="1">
      <c r="A35" s="8" t="s">
        <v>20</v>
      </c>
      <c r="B35" s="8">
        <v>2</v>
      </c>
      <c r="C35" s="8">
        <v>25.3</v>
      </c>
      <c r="D35" s="8">
        <v>50.6</v>
      </c>
      <c r="E35" s="8">
        <v>1</v>
      </c>
      <c r="F35" s="8">
        <v>0.2</v>
      </c>
      <c r="G35" s="8">
        <v>0.5</v>
      </c>
      <c r="H35" s="8">
        <v>1.73</v>
      </c>
      <c r="I35" s="9">
        <f>Таблица1[[#This Row],[Ки]]*Таблица1[[#This Row],[Сумма Рн, кВт]]</f>
        <v>10.120000000000001</v>
      </c>
      <c r="J35" s="9">
        <f>Таблица1[[#This Row],[Рсм, кВт]]*Таблица1[[#This Row],[tgy]]</f>
        <v>17.5076</v>
      </c>
      <c r="K35" s="9"/>
      <c r="L35" s="8"/>
      <c r="M35" s="9"/>
      <c r="N35" s="9"/>
      <c r="O35" s="9"/>
    </row>
    <row r="36" spans="1:15" s="5" customFormat="1">
      <c r="A36" s="8" t="s">
        <v>18</v>
      </c>
      <c r="B36" s="8">
        <v>5</v>
      </c>
      <c r="C36" s="8">
        <v>21</v>
      </c>
      <c r="D36" s="8">
        <f>5*21</f>
        <v>105</v>
      </c>
      <c r="E36" s="8">
        <v>1</v>
      </c>
      <c r="F36" s="8">
        <v>0.7</v>
      </c>
      <c r="G36" s="8">
        <v>0.8</v>
      </c>
      <c r="H36" s="8">
        <v>0.75</v>
      </c>
      <c r="I36" s="9">
        <f>Таблица1[[#This Row],[Ки]]*Таблица1[[#This Row],[Сумма Рн, кВт]]</f>
        <v>73.5</v>
      </c>
      <c r="J36" s="9">
        <f>Таблица1[[#This Row],[Рсм, кВт]]*Таблица1[[#This Row],[tgy]]</f>
        <v>55.125</v>
      </c>
      <c r="K36" s="9"/>
      <c r="L36" s="8"/>
      <c r="M36" s="9"/>
      <c r="N36" s="9"/>
      <c r="O36" s="9"/>
    </row>
    <row r="37" spans="1:15" s="5" customFormat="1">
      <c r="A37" s="1" t="s">
        <v>51</v>
      </c>
      <c r="B37" s="1">
        <f>B33+B34+B35+B36</f>
        <v>27</v>
      </c>
      <c r="C37" s="1" t="s">
        <v>28</v>
      </c>
      <c r="D37" s="1">
        <f>D33+D34+D35+D36</f>
        <v>1493.6</v>
      </c>
      <c r="E37" s="1">
        <f>75/21</f>
        <v>3.5714285714285716</v>
      </c>
      <c r="F37" s="1">
        <f>Таблица1[[#This Row],[Рсм, кВт]]/Таблица1[[#This Row],[Сумма Рн, кВт]]</f>
        <v>0.8132163899303696</v>
      </c>
      <c r="G37" s="1">
        <v>0.84</v>
      </c>
      <c r="H37" s="1">
        <f>Таблица1[[#This Row],[Qсм, квар]]/Таблица1[[#This Row],[Рсм, кВт]]</f>
        <v>0.64730705899787588</v>
      </c>
      <c r="I37" s="2">
        <f>I33+I34+I35+I36</f>
        <v>1214.6199999999999</v>
      </c>
      <c r="J37" s="2">
        <f>J33+J34+J35+J36</f>
        <v>786.23209999999995</v>
      </c>
      <c r="K37" s="2">
        <v>27</v>
      </c>
      <c r="L37" s="1">
        <v>1</v>
      </c>
      <c r="M37" s="2">
        <f>Таблица1[[#This Row],[Рсм, кВт]]</f>
        <v>1214.6199999999999</v>
      </c>
      <c r="N37" s="2">
        <f>Таблица1[[#This Row],[Qсм, квар]]</f>
        <v>786.23209999999995</v>
      </c>
      <c r="O37" s="2">
        <f>SQRT(Таблица1[[#This Row],[Рр, кВт]]*Таблица1[[#This Row],[Рр, кВт]]+Таблица1[[#This Row],[Qр, квар]]*Таблица1[[#This Row],[Qр, квар]])</f>
        <v>1446.8803196776191</v>
      </c>
    </row>
    <row r="38" spans="1:15" s="5" customFormat="1">
      <c r="A38" s="8"/>
      <c r="B38" s="8"/>
      <c r="C38" s="8"/>
      <c r="D38" s="8"/>
      <c r="E38" s="8"/>
      <c r="F38" s="8"/>
      <c r="G38" s="8"/>
      <c r="H38" s="8"/>
      <c r="I38" s="9"/>
      <c r="J38" s="9"/>
      <c r="K38" s="9"/>
      <c r="L38" s="8"/>
      <c r="M38" s="9"/>
      <c r="N38" s="9"/>
      <c r="O38" s="9"/>
    </row>
    <row r="39" spans="1:15" s="5" customFormat="1">
      <c r="A39" s="8" t="s">
        <v>52</v>
      </c>
      <c r="B39" s="8"/>
      <c r="C39" s="8"/>
      <c r="D39" s="8"/>
      <c r="E39" s="8"/>
      <c r="F39" s="8"/>
      <c r="G39" s="8"/>
      <c r="H39" s="8"/>
      <c r="I39" s="9"/>
      <c r="J39" s="9"/>
      <c r="K39" s="9"/>
      <c r="L39" s="8"/>
      <c r="M39" s="9"/>
      <c r="N39" s="9"/>
      <c r="O39" s="9"/>
    </row>
    <row r="40" spans="1:15" s="5" customFormat="1">
      <c r="A40" s="8" t="s">
        <v>27</v>
      </c>
      <c r="B40" s="8">
        <v>7</v>
      </c>
      <c r="C40" s="8" t="s">
        <v>23</v>
      </c>
      <c r="D40" s="8">
        <f>4*18.97+3*13.9</f>
        <v>117.58</v>
      </c>
      <c r="E40" s="8">
        <f>18.97/13.9</f>
        <v>1.3647482014388488</v>
      </c>
      <c r="F40" s="8">
        <v>0.2</v>
      </c>
      <c r="G40" s="8">
        <v>0.4</v>
      </c>
      <c r="H40" s="8">
        <v>2.29</v>
      </c>
      <c r="I40" s="9">
        <f>Таблица1[[#This Row],[Ки]]*Таблица1[[#This Row],[Сумма Рн, кВт]]</f>
        <v>23.516000000000002</v>
      </c>
      <c r="J40" s="9">
        <f>Таблица1[[#This Row],[Рсм, кВт]]*Таблица1[[#This Row],[tgy]]</f>
        <v>53.851640000000003</v>
      </c>
      <c r="K40" s="9"/>
      <c r="L40" s="8"/>
      <c r="M40" s="9"/>
      <c r="N40" s="9"/>
      <c r="O40" s="9"/>
    </row>
    <row r="41" spans="1:15" s="5" customFormat="1">
      <c r="A41" s="8" t="s">
        <v>53</v>
      </c>
      <c r="B41" s="8">
        <v>10</v>
      </c>
      <c r="C41" s="8">
        <f>300*0.65</f>
        <v>195</v>
      </c>
      <c r="D41" s="8">
        <f>195*10</f>
        <v>1950</v>
      </c>
      <c r="E41" s="8">
        <v>1</v>
      </c>
      <c r="F41" s="8">
        <v>0.2</v>
      </c>
      <c r="G41" s="8">
        <v>0.4</v>
      </c>
      <c r="H41" s="8">
        <v>2.29</v>
      </c>
      <c r="I41" s="9">
        <f>Таблица1[[#This Row],[Ки]]*Таблица1[[#This Row],[Сумма Рн, кВт]]</f>
        <v>390</v>
      </c>
      <c r="J41" s="9">
        <f>Таблица1[[#This Row],[Рсм, кВт]]*Таблица1[[#This Row],[tgy]]</f>
        <v>893.1</v>
      </c>
      <c r="K41" s="9"/>
      <c r="L41" s="8"/>
      <c r="M41" s="9"/>
      <c r="N41" s="9"/>
      <c r="O41" s="9"/>
    </row>
    <row r="42" spans="1:15" s="5" customFormat="1">
      <c r="A42" s="8" t="s">
        <v>20</v>
      </c>
      <c r="B42" s="8">
        <v>2</v>
      </c>
      <c r="C42" s="8">
        <v>31.62</v>
      </c>
      <c r="D42" s="8">
        <f>31.62*2</f>
        <v>63.24</v>
      </c>
      <c r="E42" s="8">
        <v>1</v>
      </c>
      <c r="F42" s="8">
        <v>0.2</v>
      </c>
      <c r="G42" s="8">
        <v>0.5</v>
      </c>
      <c r="H42" s="8">
        <v>1.73</v>
      </c>
      <c r="I42" s="9">
        <f>Таблица1[[#This Row],[Ки]]*Таблица1[[#This Row],[Сумма Рн, кВт]]</f>
        <v>12.648000000000001</v>
      </c>
      <c r="J42" s="9">
        <f>Таблица1[[#This Row],[Рсм, кВт]]*Таблица1[[#This Row],[tgy]]</f>
        <v>21.881040000000002</v>
      </c>
      <c r="K42" s="9"/>
      <c r="L42" s="8"/>
      <c r="M42" s="9"/>
      <c r="N42" s="9"/>
      <c r="O42" s="9"/>
    </row>
    <row r="43" spans="1:15" s="5" customFormat="1">
      <c r="A43" s="8" t="s">
        <v>18</v>
      </c>
      <c r="B43" s="8">
        <v>5</v>
      </c>
      <c r="C43" s="8" t="s">
        <v>54</v>
      </c>
      <c r="D43" s="8">
        <f>3*17+2*55</f>
        <v>161</v>
      </c>
      <c r="E43" s="8">
        <f>55/17</f>
        <v>3.2352941176470589</v>
      </c>
      <c r="F43" s="8">
        <v>0.7</v>
      </c>
      <c r="G43" s="8">
        <v>0.8</v>
      </c>
      <c r="H43" s="8">
        <v>0.75</v>
      </c>
      <c r="I43" s="9">
        <f>Таблица1[[#This Row],[Ки]]*Таблица1[[#This Row],[Сумма Рн, кВт]]</f>
        <v>112.69999999999999</v>
      </c>
      <c r="J43" s="9">
        <f>Таблица1[[#This Row],[Рсм, кВт]]*Таблица1[[#This Row],[tgy]]</f>
        <v>84.524999999999991</v>
      </c>
      <c r="K43" s="9"/>
      <c r="L43" s="8"/>
      <c r="M43" s="9"/>
      <c r="N43" s="9"/>
      <c r="O43" s="9"/>
    </row>
    <row r="44" spans="1:15" s="5" customFormat="1">
      <c r="A44" s="1" t="s">
        <v>55</v>
      </c>
      <c r="B44" s="1">
        <f>B40+B41+B42+B43</f>
        <v>24</v>
      </c>
      <c r="C44" s="1" t="s">
        <v>56</v>
      </c>
      <c r="D44" s="1">
        <f>D40+D41+D42+D43</f>
        <v>2291.8199999999997</v>
      </c>
      <c r="E44" s="1">
        <f>195/13.9</f>
        <v>14.028776978417266</v>
      </c>
      <c r="F44" s="1">
        <f>Таблица1[[#This Row],[Рсм, кВт]]/Таблица1[[#This Row],[Сумма Рн, кВт]]</f>
        <v>0.23512492255063666</v>
      </c>
      <c r="G44" s="1">
        <v>0.45500000000000002</v>
      </c>
      <c r="H44" s="1">
        <f>Таблица1[[#This Row],[Qсм, квар]]/Таблица1[[#This Row],[Рсм, кВт]]</f>
        <v>1.9547746370141632</v>
      </c>
      <c r="I44" s="2">
        <f>I40+I41+I42+I43</f>
        <v>538.86400000000003</v>
      </c>
      <c r="J44" s="2">
        <f>J40+J41+J42+J43</f>
        <v>1053.3576800000001</v>
      </c>
      <c r="K44" s="2">
        <v>24</v>
      </c>
      <c r="L44" s="1">
        <v>1.1100000000000001</v>
      </c>
      <c r="M44" s="2">
        <f>Таблица1[[#This Row],[Кр(Ко)]]*Таблица1[[#This Row],[Рсм, кВт]]</f>
        <v>598.13904000000014</v>
      </c>
      <c r="N44" s="2">
        <f>Таблица1[[#This Row],[Qсм, квар]]</f>
        <v>1053.3576800000001</v>
      </c>
      <c r="O44" s="2">
        <f>SQRT(Таблица1[[#This Row],[Рр, кВт]]*Таблица1[[#This Row],[Рр, кВт]]+Таблица1[[#This Row],[Qр, квар]]*Таблица1[[#This Row],[Qр, квар]])</f>
        <v>1211.3350953337001</v>
      </c>
    </row>
    <row r="45" spans="1:15" s="5" customFormat="1">
      <c r="A45" s="8"/>
      <c r="B45" s="8"/>
      <c r="C45" s="8"/>
      <c r="D45" s="8"/>
      <c r="E45" s="8"/>
      <c r="F45" s="8"/>
      <c r="G45" s="8"/>
      <c r="H45" s="8"/>
      <c r="I45" s="9"/>
      <c r="J45" s="9"/>
      <c r="K45" s="9"/>
      <c r="L45" s="8"/>
      <c r="M45" s="9"/>
      <c r="N45" s="9"/>
      <c r="O45" s="9"/>
    </row>
    <row r="46" spans="1:15" s="5" customFormat="1">
      <c r="A46" s="3" t="s">
        <v>58</v>
      </c>
      <c r="B46" s="3">
        <f>B7+B16+B23+B30+B37+B44</f>
        <v>186</v>
      </c>
      <c r="C46" s="3" t="s">
        <v>59</v>
      </c>
      <c r="D46" s="3">
        <f>D7+D16+D23+D30+D37+D44</f>
        <v>20876.039999999997</v>
      </c>
      <c r="E46" s="3">
        <f>1600/7.5</f>
        <v>213.33333333333334</v>
      </c>
      <c r="F46" s="3">
        <f>Таблица1[[#This Row],[Рсм, кВт]]/Таблица1[[#This Row],[Сумма Рн, кВт]]</f>
        <v>0.55928748938975026</v>
      </c>
      <c r="G46" s="3">
        <v>0.73499999999999999</v>
      </c>
      <c r="H46" s="3">
        <f>Таблица1[[#This Row],[Qсм, квар]]/Таблица1[[#This Row],[Рсм, кВт]]</f>
        <v>0.92157413494753382</v>
      </c>
      <c r="I46" s="4">
        <f>I7+I16+I23+I30+I37+I44</f>
        <v>11675.708000000001</v>
      </c>
      <c r="J46" s="4">
        <f>J7+J16+J23+J30+J37+J44</f>
        <v>10760.030500000001</v>
      </c>
      <c r="K46" s="4"/>
      <c r="L46" s="3"/>
      <c r="M46" s="4">
        <f>M7+M16+M23+M30+M37+M44</f>
        <v>11734.983040000001</v>
      </c>
      <c r="N46" s="4">
        <f>N7+N16+N23+N30+N37+N44</f>
        <v>11112.446500000002</v>
      </c>
      <c r="O46" s="4">
        <f>O7+O16+O23+O30+O37+O44</f>
        <v>16323.008706492461</v>
      </c>
    </row>
    <row r="47" spans="1:15" s="5" customFormat="1"/>
    <row r="48" spans="1:15" s="5" customFormat="1"/>
  </sheetData>
  <pageMargins left="0.22916666666666666" right="0.7" top="0.17708333333333334" bottom="0.75" header="0.3" footer="0.3"/>
  <pageSetup paperSize="9" orientation="landscape" horizontalDpi="180" verticalDpi="18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O46"/>
  <sheetViews>
    <sheetView tabSelected="1" topLeftCell="B11" workbookViewId="0">
      <selection sqref="A1:O46"/>
    </sheetView>
  </sheetViews>
  <sheetFormatPr defaultRowHeight="15"/>
  <cols>
    <col min="1" max="1" width="57.5703125" customWidth="1"/>
    <col min="2" max="2" width="4.85546875" customWidth="1"/>
    <col min="3" max="3" width="19.42578125" customWidth="1"/>
  </cols>
  <sheetData>
    <row r="1" spans="1:15">
      <c r="A1" s="14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9</v>
      </c>
      <c r="J1" s="15" t="s">
        <v>8</v>
      </c>
      <c r="K1" s="15" t="s">
        <v>10</v>
      </c>
      <c r="L1" s="15" t="s">
        <v>11</v>
      </c>
      <c r="M1" s="15" t="s">
        <v>12</v>
      </c>
      <c r="N1" s="15" t="s">
        <v>13</v>
      </c>
      <c r="O1" s="16" t="s">
        <v>14</v>
      </c>
    </row>
    <row r="2" spans="1:15">
      <c r="A2" s="17" t="s">
        <v>15</v>
      </c>
      <c r="B2" s="18"/>
      <c r="C2" s="18"/>
      <c r="D2" s="18"/>
      <c r="E2" s="18"/>
      <c r="F2" s="18"/>
      <c r="G2" s="18"/>
      <c r="H2" s="18"/>
      <c r="I2" s="19"/>
      <c r="J2" s="19"/>
      <c r="K2" s="19"/>
      <c r="L2" s="18"/>
      <c r="M2" s="19"/>
      <c r="N2" s="19"/>
      <c r="O2" s="20"/>
    </row>
    <row r="3" spans="1:15">
      <c r="A3" s="17" t="s">
        <v>16</v>
      </c>
      <c r="B3" s="18">
        <v>40</v>
      </c>
      <c r="C3" s="18" t="s">
        <v>17</v>
      </c>
      <c r="D3" s="18">
        <v>1812.5</v>
      </c>
      <c r="E3" s="18">
        <v>10</v>
      </c>
      <c r="F3" s="18">
        <v>0.2</v>
      </c>
      <c r="G3" s="18">
        <v>0.5</v>
      </c>
      <c r="H3" s="18">
        <v>1.73</v>
      </c>
      <c r="I3" s="19">
        <f>Таблица13[[#This Row],[Ки]]*Таблица13[[#This Row],[Сумма Рн, кВт]]</f>
        <v>362.5</v>
      </c>
      <c r="J3" s="19">
        <f>Таблица13[[#This Row],[Рсм, кВт]]*Таблица13[[#This Row],[tgy]]</f>
        <v>627.125</v>
      </c>
      <c r="K3" s="19"/>
      <c r="L3" s="18"/>
      <c r="M3" s="19"/>
      <c r="N3" s="19"/>
      <c r="O3" s="20"/>
    </row>
    <row r="4" spans="1:15">
      <c r="A4" s="17" t="s">
        <v>18</v>
      </c>
      <c r="B4" s="18">
        <v>9</v>
      </c>
      <c r="C4" s="18" t="s">
        <v>19</v>
      </c>
      <c r="D4" s="18">
        <v>203</v>
      </c>
      <c r="E4" s="18">
        <v>5.3</v>
      </c>
      <c r="F4" s="18">
        <v>0.8</v>
      </c>
      <c r="G4" s="18">
        <v>0.8</v>
      </c>
      <c r="H4" s="18">
        <v>0.75</v>
      </c>
      <c r="I4" s="19">
        <f>Таблица13[[#This Row],[Ки]]*Таблица13[[#This Row],[Сумма Рн, кВт]]</f>
        <v>162.4</v>
      </c>
      <c r="J4" s="19">
        <f>Таблица13[[#This Row],[Рсм, кВт]]*Таблица13[[#This Row],[tgy]]</f>
        <v>121.80000000000001</v>
      </c>
      <c r="K4" s="19"/>
      <c r="L4" s="18"/>
      <c r="M4" s="19"/>
      <c r="N4" s="19"/>
      <c r="O4" s="20"/>
    </row>
    <row r="5" spans="1:15">
      <c r="A5" s="17" t="s">
        <v>20</v>
      </c>
      <c r="B5" s="18">
        <v>4</v>
      </c>
      <c r="C5" s="18" t="s">
        <v>21</v>
      </c>
      <c r="D5" s="18">
        <v>148</v>
      </c>
      <c r="E5" s="18">
        <v>2.2000000000000002</v>
      </c>
      <c r="F5" s="18">
        <v>0.3</v>
      </c>
      <c r="G5" s="18">
        <v>0.5</v>
      </c>
      <c r="H5" s="18">
        <v>1.73</v>
      </c>
      <c r="I5" s="19">
        <f>Таблица13[[#This Row],[Ки]]*Таблица13[[#This Row],[Сумма Рн, кВт]]</f>
        <v>44.4</v>
      </c>
      <c r="J5" s="19">
        <f>Таблица13[[#This Row],[Рсм, кВт]]*Таблица13[[#This Row],[tgy]]</f>
        <v>76.811999999999998</v>
      </c>
      <c r="K5" s="19"/>
      <c r="L5" s="18"/>
      <c r="M5" s="19"/>
      <c r="N5" s="19"/>
      <c r="O5" s="20"/>
    </row>
    <row r="6" spans="1:15">
      <c r="A6" s="17" t="s">
        <v>22</v>
      </c>
      <c r="B6" s="18">
        <v>7</v>
      </c>
      <c r="C6" s="18" t="s">
        <v>23</v>
      </c>
      <c r="D6" s="18">
        <v>117.6</v>
      </c>
      <c r="E6" s="18">
        <v>1.365</v>
      </c>
      <c r="F6" s="18">
        <v>0.2</v>
      </c>
      <c r="G6" s="18">
        <v>0.4</v>
      </c>
      <c r="H6" s="18">
        <v>2.29</v>
      </c>
      <c r="I6" s="19">
        <f>Таблица13[[#This Row],[Ки]]*Таблица13[[#This Row],[Сумма Рн, кВт]]</f>
        <v>23.52</v>
      </c>
      <c r="J6" s="19">
        <f>Таблица13[[#This Row],[Рсм, кВт]]*Таблица13[[#This Row],[tgy]]</f>
        <v>53.860799999999998</v>
      </c>
      <c r="K6" s="19"/>
      <c r="L6" s="18"/>
      <c r="M6" s="19"/>
      <c r="N6" s="19"/>
      <c r="O6" s="20"/>
    </row>
    <row r="7" spans="1:15">
      <c r="A7" s="17" t="s">
        <v>40</v>
      </c>
      <c r="B7" s="18">
        <f>B3+B4+B5+B6</f>
        <v>60</v>
      </c>
      <c r="C7" s="18" t="s">
        <v>25</v>
      </c>
      <c r="D7" s="18">
        <f>D3+D4+D5+D6</f>
        <v>2281.1</v>
      </c>
      <c r="E7" s="18">
        <f>50.6/7.5</f>
        <v>6.746666666666667</v>
      </c>
      <c r="F7" s="18">
        <f>Таблица13[[#This Row],[Рсм, кВт]]/Таблица13[[#This Row],[Сумма Рн, кВт]]</f>
        <v>0.25988338959274032</v>
      </c>
      <c r="G7" s="18">
        <v>0.56000000000000005</v>
      </c>
      <c r="H7" s="18">
        <f>Таблица13[[#This Row],[Qсм, квар]]/Таблица13[[#This Row],[Рсм, кВт]]</f>
        <v>1.4837518977092543</v>
      </c>
      <c r="I7" s="19">
        <f>I3+I4+I5+I6</f>
        <v>592.81999999999994</v>
      </c>
      <c r="J7" s="19">
        <f>J3+J4+J5+J6</f>
        <v>879.59780000000001</v>
      </c>
      <c r="K7" s="19">
        <v>60</v>
      </c>
      <c r="L7" s="18">
        <v>1</v>
      </c>
      <c r="M7" s="19">
        <f>Таблица13[[#This Row],[Рсм, кВт]]</f>
        <v>592.81999999999994</v>
      </c>
      <c r="N7" s="19">
        <f>Таблица13[[#This Row],[Qсм, квар]]</f>
        <v>879.59780000000001</v>
      </c>
      <c r="O7" s="20">
        <f>SQRT(Таблица13[[#This Row],[Рр, кВт]]*Таблица13[[#This Row],[Рр, кВт]]+Таблица13[[#This Row],[Qр, квар]]*Таблица13[[#This Row],[Qр, квар]])</f>
        <v>1060.7204354422706</v>
      </c>
    </row>
    <row r="8" spans="1:15">
      <c r="A8" s="17"/>
      <c r="B8" s="18"/>
      <c r="C8" s="18"/>
      <c r="D8" s="18"/>
      <c r="E8" s="18"/>
      <c r="F8" s="18"/>
      <c r="G8" s="18"/>
      <c r="H8" s="18"/>
      <c r="I8" s="19"/>
      <c r="J8" s="19"/>
      <c r="K8" s="19"/>
      <c r="L8" s="18"/>
      <c r="M8" s="19"/>
      <c r="N8" s="19"/>
      <c r="O8" s="20"/>
    </row>
    <row r="9" spans="1:15">
      <c r="A9" s="17" t="s">
        <v>24</v>
      </c>
      <c r="B9" s="18"/>
      <c r="C9" s="18"/>
      <c r="D9" s="18"/>
      <c r="E9" s="18"/>
      <c r="F9" s="18"/>
      <c r="G9" s="18"/>
      <c r="H9" s="18"/>
      <c r="I9" s="19"/>
      <c r="J9" s="19"/>
      <c r="K9" s="19"/>
      <c r="L9" s="18"/>
      <c r="M9" s="19"/>
      <c r="N9" s="19"/>
      <c r="O9" s="20"/>
    </row>
    <row r="10" spans="1:15">
      <c r="A10" s="17" t="s">
        <v>26</v>
      </c>
      <c r="B10" s="18">
        <v>17</v>
      </c>
      <c r="C10" s="18">
        <v>126.49</v>
      </c>
      <c r="D10" s="18">
        <f>C10*B10</f>
        <v>2150.33</v>
      </c>
      <c r="E10" s="18">
        <v>1</v>
      </c>
      <c r="F10" s="18">
        <v>0.2</v>
      </c>
      <c r="G10" s="18">
        <v>0.4</v>
      </c>
      <c r="H10" s="18">
        <v>2.29</v>
      </c>
      <c r="I10" s="19">
        <f>Таблица13[[#This Row],[Ки]]*Таблица13[[#This Row],[Сумма Рн, кВт]]</f>
        <v>430.06600000000003</v>
      </c>
      <c r="J10" s="19">
        <f>Таблица13[[#This Row],[Рсм, кВт]]*Таблица13[[#This Row],[tgy]]</f>
        <v>984.8511400000001</v>
      </c>
      <c r="K10" s="19"/>
      <c r="L10" s="18"/>
      <c r="M10" s="19"/>
      <c r="N10" s="19"/>
      <c r="O10" s="20"/>
    </row>
    <row r="11" spans="1:15">
      <c r="A11" s="17" t="s">
        <v>27</v>
      </c>
      <c r="B11" s="18">
        <v>11</v>
      </c>
      <c r="C11" s="18">
        <v>18.97</v>
      </c>
      <c r="D11" s="18">
        <f>C11*B11</f>
        <v>208.67</v>
      </c>
      <c r="E11" s="18">
        <v>1</v>
      </c>
      <c r="F11" s="18">
        <v>0.2</v>
      </c>
      <c r="G11" s="18">
        <v>0.4</v>
      </c>
      <c r="H11" s="18">
        <v>2.29</v>
      </c>
      <c r="I11" s="19">
        <f>Таблица13[[#This Row],[Ки]]*Таблица13[[#This Row],[Сумма Рн, кВт]]</f>
        <v>41.734000000000002</v>
      </c>
      <c r="J11" s="19">
        <f>Таблица13[[#This Row],[Рсм, кВт]]*Таблица13[[#This Row],[tgy]]</f>
        <v>95.57086000000001</v>
      </c>
      <c r="K11" s="19"/>
      <c r="L11" s="18"/>
      <c r="M11" s="19"/>
      <c r="N11" s="19"/>
      <c r="O11" s="20"/>
    </row>
    <row r="12" spans="1:15">
      <c r="A12" s="17" t="s">
        <v>20</v>
      </c>
      <c r="B12" s="18">
        <v>4</v>
      </c>
      <c r="C12" s="18">
        <v>50.6</v>
      </c>
      <c r="D12" s="18">
        <f>C12*B12</f>
        <v>202.4</v>
      </c>
      <c r="E12" s="18">
        <v>1</v>
      </c>
      <c r="F12" s="18">
        <v>0.2</v>
      </c>
      <c r="G12" s="18">
        <v>0.5</v>
      </c>
      <c r="H12" s="18">
        <v>1.73</v>
      </c>
      <c r="I12" s="19">
        <f>Таблица13[[#This Row],[Ки]]*Таблица13[[#This Row],[Сумма Рн, кВт]]</f>
        <v>40.480000000000004</v>
      </c>
      <c r="J12" s="19">
        <f>Таблица13[[#This Row],[Рсм, кВт]]*Таблица13[[#This Row],[tgy]]</f>
        <v>70.0304</v>
      </c>
      <c r="K12" s="19"/>
      <c r="L12" s="18"/>
      <c r="M12" s="19"/>
      <c r="N12" s="19"/>
      <c r="O12" s="20"/>
    </row>
    <row r="13" spans="1:15">
      <c r="A13" s="17" t="s">
        <v>18</v>
      </c>
      <c r="B13" s="18">
        <v>8</v>
      </c>
      <c r="C13" s="18" t="s">
        <v>28</v>
      </c>
      <c r="D13" s="18">
        <v>359</v>
      </c>
      <c r="E13" s="18">
        <v>3.57</v>
      </c>
      <c r="F13" s="18">
        <v>0.7</v>
      </c>
      <c r="G13" s="18">
        <v>0.8</v>
      </c>
      <c r="H13" s="18">
        <v>0.75</v>
      </c>
      <c r="I13" s="19">
        <f>Таблица13[[#This Row],[Ки]]*Таблица13[[#This Row],[Сумма Рн, кВт]]</f>
        <v>251.29999999999998</v>
      </c>
      <c r="J13" s="19">
        <f>Таблица13[[#This Row],[Рсм, кВт]]*Таблица13[[#This Row],[tgy]]</f>
        <v>188.47499999999999</v>
      </c>
      <c r="K13" s="19"/>
      <c r="L13" s="18"/>
      <c r="M13" s="19"/>
      <c r="N13" s="19"/>
      <c r="O13" s="20"/>
    </row>
    <row r="14" spans="1:15">
      <c r="A14" s="17" t="s">
        <v>29</v>
      </c>
      <c r="B14" s="18">
        <v>7</v>
      </c>
      <c r="C14" s="18" t="s">
        <v>30</v>
      </c>
      <c r="D14" s="18">
        <v>325</v>
      </c>
      <c r="E14" s="18">
        <v>1.375</v>
      </c>
      <c r="F14" s="18">
        <v>0.7</v>
      </c>
      <c r="G14" s="18">
        <v>0.8</v>
      </c>
      <c r="H14" s="18">
        <v>0.75</v>
      </c>
      <c r="I14" s="19">
        <f>Таблица13[[#This Row],[Ки]]*Таблица13[[#This Row],[Сумма Рн, кВт]]</f>
        <v>227.49999999999997</v>
      </c>
      <c r="J14" s="19">
        <f>Таблица13[[#This Row],[Рсм, кВт]]*Таблица13[[#This Row],[tgy]]</f>
        <v>170.62499999999997</v>
      </c>
      <c r="K14" s="19"/>
      <c r="L14" s="18"/>
      <c r="M14" s="19"/>
      <c r="N14" s="19"/>
      <c r="O14" s="20"/>
    </row>
    <row r="15" spans="1:15">
      <c r="A15" s="17" t="s">
        <v>31</v>
      </c>
      <c r="B15" s="18">
        <v>4</v>
      </c>
      <c r="C15" s="18">
        <v>125</v>
      </c>
      <c r="D15" s="18">
        <f>Таблица13[[#This Row],[Рн мин-Рн макс, кВт]]*Таблица13[[#This Row],[n]]</f>
        <v>500</v>
      </c>
      <c r="E15" s="18">
        <v>1</v>
      </c>
      <c r="F15" s="18">
        <v>0.46</v>
      </c>
      <c r="G15" s="18">
        <v>0.85</v>
      </c>
      <c r="H15" s="18">
        <v>0.62</v>
      </c>
      <c r="I15" s="19">
        <f>Таблица13[[#This Row],[Ки]]*Таблица13[[#This Row],[Сумма Рн, кВт]]</f>
        <v>230</v>
      </c>
      <c r="J15" s="19">
        <f>Таблица13[[#This Row],[Рсм, кВт]]*Таблица13[[#This Row],[tgy]]</f>
        <v>142.6</v>
      </c>
      <c r="K15" s="19"/>
      <c r="L15" s="18"/>
      <c r="M15" s="19"/>
      <c r="N15" s="19"/>
      <c r="O15" s="20"/>
    </row>
    <row r="16" spans="1:15">
      <c r="A16" s="17" t="s">
        <v>39</v>
      </c>
      <c r="B16" s="18">
        <f>B10+B11+B12+B13+B14+B15</f>
        <v>51</v>
      </c>
      <c r="C16" s="18" t="s">
        <v>32</v>
      </c>
      <c r="D16" s="18">
        <f>D10+D11+D12+D13+D14+D15</f>
        <v>3745.4</v>
      </c>
      <c r="E16" s="18">
        <v>6.67</v>
      </c>
      <c r="F16" s="18">
        <f>Таблица13[[#This Row],[Рсм, кВт]]/Таблица13[[#This Row],[Сумма Рн, кВт]]</f>
        <v>0.3260212527366903</v>
      </c>
      <c r="G16" s="18">
        <v>0.6</v>
      </c>
      <c r="H16" s="18">
        <f>Таблица13[[#This Row],[Qсм, квар]]/Таблица13[[#This Row],[Рсм, кВт]]</f>
        <v>1.3530255183935533</v>
      </c>
      <c r="I16" s="19">
        <f>I10+I11+I12+I13+I14+I15</f>
        <v>1221.08</v>
      </c>
      <c r="J16" s="19">
        <f>J10+J11+J12+J13+J14+J15</f>
        <v>1652.1523999999999</v>
      </c>
      <c r="K16" s="19">
        <v>51</v>
      </c>
      <c r="L16" s="18">
        <v>1</v>
      </c>
      <c r="M16" s="19">
        <f>Таблица13[[#This Row],[Рсм, кВт]]</f>
        <v>1221.08</v>
      </c>
      <c r="N16" s="19">
        <f>Таблица13[[#This Row],[Qсм, квар]]</f>
        <v>1652.1523999999999</v>
      </c>
      <c r="O16" s="20">
        <f>SQRT(Таблица13[[#This Row],[Рр, кВт]]*Таблица13[[#This Row],[Рр, кВт]]+Таблица13[[#This Row],[Qр, квар]]*Таблица13[[#This Row],[Qр, квар]])</f>
        <v>2054.4205799265542</v>
      </c>
    </row>
    <row r="17" spans="1:15">
      <c r="A17" s="17"/>
      <c r="B17" s="18"/>
      <c r="C17" s="18"/>
      <c r="D17" s="18"/>
      <c r="E17" s="18"/>
      <c r="F17" s="18"/>
      <c r="G17" s="18"/>
      <c r="H17" s="18"/>
      <c r="I17" s="19"/>
      <c r="J17" s="19"/>
      <c r="K17" s="19"/>
      <c r="L17" s="18"/>
      <c r="M17" s="19"/>
      <c r="N17" s="19"/>
      <c r="O17" s="20"/>
    </row>
    <row r="18" spans="1:15">
      <c r="A18" s="17" t="s">
        <v>33</v>
      </c>
      <c r="B18" s="18"/>
      <c r="C18" s="18"/>
      <c r="D18" s="18"/>
      <c r="E18" s="18"/>
      <c r="F18" s="18"/>
      <c r="G18" s="18"/>
      <c r="H18" s="18"/>
      <c r="I18" s="19"/>
      <c r="J18" s="19"/>
      <c r="K18" s="19"/>
      <c r="L18" s="18"/>
      <c r="M18" s="19"/>
      <c r="N18" s="19"/>
      <c r="O18" s="20"/>
    </row>
    <row r="19" spans="1:15">
      <c r="A19" s="17" t="s">
        <v>34</v>
      </c>
      <c r="B19" s="18">
        <v>4</v>
      </c>
      <c r="C19" s="18">
        <v>350</v>
      </c>
      <c r="D19" s="18">
        <f>Таблица13[[#This Row],[n]]*Таблица13[[#This Row],[Рн мин-Рн макс, кВт]]</f>
        <v>1400</v>
      </c>
      <c r="E19" s="18">
        <v>1</v>
      </c>
      <c r="F19" s="18">
        <v>0.75</v>
      </c>
      <c r="G19" s="18">
        <v>0.87</v>
      </c>
      <c r="H19" s="18">
        <v>0.56699999999999995</v>
      </c>
      <c r="I19" s="19">
        <f>Таблица13[[#This Row],[Ки]]*Таблица13[[#This Row],[Сумма Рн, кВт]]</f>
        <v>1050</v>
      </c>
      <c r="J19" s="19">
        <f>Таблица13[[#This Row],[Рсм, кВт]]*Таблица13[[#This Row],[tgy]]</f>
        <v>595.34999999999991</v>
      </c>
      <c r="K19" s="19"/>
      <c r="L19" s="18"/>
      <c r="M19" s="19"/>
      <c r="N19" s="19"/>
      <c r="O19" s="20"/>
    </row>
    <row r="20" spans="1:15">
      <c r="A20" s="17" t="s">
        <v>34</v>
      </c>
      <c r="B20" s="18">
        <v>3</v>
      </c>
      <c r="C20" s="18">
        <v>750</v>
      </c>
      <c r="D20" s="18">
        <f>Таблица13[[#This Row],[n]]*Таблица13[[#This Row],[Рн мин-Рн макс, кВт]]</f>
        <v>2250</v>
      </c>
      <c r="E20" s="18">
        <v>1</v>
      </c>
      <c r="F20" s="18">
        <v>0.86</v>
      </c>
      <c r="G20" s="18">
        <v>0.7</v>
      </c>
      <c r="H20" s="18">
        <v>1.02</v>
      </c>
      <c r="I20" s="19">
        <f>Таблица13[[#This Row],[Ки]]*Таблица13[[#This Row],[Сумма Рн, кВт]]</f>
        <v>1935</v>
      </c>
      <c r="J20" s="19">
        <f>Таблица13[[#This Row],[Рсм, кВт]]*Таблица13[[#This Row],[tgy]]</f>
        <v>1973.7</v>
      </c>
      <c r="K20" s="19"/>
      <c r="L20" s="18"/>
      <c r="M20" s="19"/>
      <c r="N20" s="19"/>
      <c r="O20" s="20"/>
    </row>
    <row r="21" spans="1:15">
      <c r="A21" s="17" t="s">
        <v>18</v>
      </c>
      <c r="B21" s="18">
        <v>7</v>
      </c>
      <c r="C21" s="18" t="s">
        <v>35</v>
      </c>
      <c r="D21" s="18">
        <f>4*50+3*75</f>
        <v>425</v>
      </c>
      <c r="E21" s="18">
        <f>75/50</f>
        <v>1.5</v>
      </c>
      <c r="F21" s="18">
        <v>0.7</v>
      </c>
      <c r="G21" s="18">
        <v>0.8</v>
      </c>
      <c r="H21" s="18">
        <v>0.75</v>
      </c>
      <c r="I21" s="19">
        <f>Таблица13[[#This Row],[Ки]]*Таблица13[[#This Row],[Сумма Рн, кВт]]</f>
        <v>297.5</v>
      </c>
      <c r="J21" s="19">
        <f>Таблица13[[#This Row],[Рсм, кВт]]*Таблица13[[#This Row],[tgy]]</f>
        <v>223.125</v>
      </c>
      <c r="K21" s="19"/>
      <c r="L21" s="18"/>
      <c r="M21" s="19"/>
      <c r="N21" s="19"/>
      <c r="O21" s="20"/>
    </row>
    <row r="22" spans="1:15">
      <c r="A22" s="17" t="s">
        <v>36</v>
      </c>
      <c r="B22" s="18">
        <v>5</v>
      </c>
      <c r="C22" s="18" t="s">
        <v>37</v>
      </c>
      <c r="D22" s="18">
        <f>58.09*2+30.98*3</f>
        <v>209.12</v>
      </c>
      <c r="E22" s="18">
        <f>58.1/31</f>
        <v>1.8741935483870968</v>
      </c>
      <c r="F22" s="18">
        <v>0.2</v>
      </c>
      <c r="G22" s="18">
        <v>0.5</v>
      </c>
      <c r="H22" s="18">
        <v>1.73</v>
      </c>
      <c r="I22" s="19">
        <f>Таблица13[[#This Row],[Ки]]*Таблица13[[#This Row],[Сумма Рн, кВт]]</f>
        <v>41.824000000000005</v>
      </c>
      <c r="J22" s="19">
        <f>Таблица13[[#This Row],[Рсм, кВт]]*Таблица13[[#This Row],[tgy]]</f>
        <v>72.355520000000013</v>
      </c>
      <c r="K22" s="19"/>
      <c r="L22" s="18"/>
      <c r="M22" s="19"/>
      <c r="N22" s="19"/>
      <c r="O22" s="20"/>
    </row>
    <row r="23" spans="1:15">
      <c r="A23" s="17" t="s">
        <v>38</v>
      </c>
      <c r="B23" s="18">
        <f>B19+B20+B21+B22</f>
        <v>19</v>
      </c>
      <c r="C23" s="18" t="s">
        <v>41</v>
      </c>
      <c r="D23" s="18">
        <f>D19+D20+D21+D22</f>
        <v>4284.12</v>
      </c>
      <c r="E23" s="18">
        <f>750/31</f>
        <v>24.193548387096776</v>
      </c>
      <c r="F23" s="18">
        <f>Таблица13[[#This Row],[Рсм, кВт]]/Таблица13[[#This Row],[Сумма Рн, кВт]]</f>
        <v>0.77596425870423802</v>
      </c>
      <c r="G23" s="18">
        <v>0.76</v>
      </c>
      <c r="H23" s="18">
        <f>Таблица13[[#This Row],[Qсм, квар]]/Таблица13[[#This Row],[Рсм, кВт]]</f>
        <v>0.86168812666876038</v>
      </c>
      <c r="I23" s="19">
        <f>I19+I20+I21+I22</f>
        <v>3324.3240000000001</v>
      </c>
      <c r="J23" s="19">
        <f>J19+J20+J21+J22</f>
        <v>2864.5305200000003</v>
      </c>
      <c r="K23" s="19">
        <v>11</v>
      </c>
      <c r="L23" s="18">
        <v>1</v>
      </c>
      <c r="M23" s="19">
        <f>Таблица13[[#This Row],[Рсм, кВт]]</f>
        <v>3324.3240000000001</v>
      </c>
      <c r="N23" s="19">
        <f>Таблица13[[#This Row],[Qсм, квар]]</f>
        <v>2864.5305200000003</v>
      </c>
      <c r="O23" s="20">
        <f>SQRT(Таблица13[[#This Row],[Рр, кВт]]*Таблица13[[#This Row],[Рр, кВт]]+Таблица13[[#This Row],[Qр, квар]]*Таблица13[[#This Row],[Qр, квар]])</f>
        <v>4388.2416930916042</v>
      </c>
    </row>
    <row r="24" spans="1:15">
      <c r="A24" s="17"/>
      <c r="B24" s="18"/>
      <c r="C24" s="18"/>
      <c r="D24" s="18"/>
      <c r="E24" s="18"/>
      <c r="F24" s="18"/>
      <c r="G24" s="18"/>
      <c r="H24" s="18"/>
      <c r="I24" s="19"/>
      <c r="J24" s="19"/>
      <c r="K24" s="19"/>
      <c r="L24" s="18"/>
      <c r="M24" s="19"/>
      <c r="N24" s="19"/>
      <c r="O24" s="20"/>
    </row>
    <row r="25" spans="1:15">
      <c r="A25" s="17" t="s">
        <v>42</v>
      </c>
      <c r="B25" s="18"/>
      <c r="C25" s="18"/>
      <c r="D25" s="18"/>
      <c r="E25" s="18"/>
      <c r="F25" s="18"/>
      <c r="G25" s="18"/>
      <c r="H25" s="18"/>
      <c r="I25" s="19"/>
      <c r="J25" s="19"/>
      <c r="K25" s="19"/>
      <c r="L25" s="18"/>
      <c r="M25" s="19"/>
      <c r="N25" s="19"/>
      <c r="O25" s="20"/>
    </row>
    <row r="26" spans="1:15">
      <c r="A26" s="17" t="s">
        <v>43</v>
      </c>
      <c r="B26" s="18">
        <v>4</v>
      </c>
      <c r="C26" s="18">
        <v>1600</v>
      </c>
      <c r="D26" s="18">
        <f>4*1600</f>
        <v>6400</v>
      </c>
      <c r="E26" s="18">
        <v>1</v>
      </c>
      <c r="F26" s="18">
        <v>0.7</v>
      </c>
      <c r="G26" s="18">
        <v>0.8</v>
      </c>
      <c r="H26" s="18">
        <v>0.75</v>
      </c>
      <c r="I26" s="19">
        <f>Таблица13[[#This Row],[Ки]]*Таблица13[[#This Row],[Сумма Рн, кВт]]</f>
        <v>4480</v>
      </c>
      <c r="J26" s="19">
        <f>Таблица13[[#This Row],[Рсм, кВт]]*Таблица13[[#This Row],[tgy]]</f>
        <v>3360</v>
      </c>
      <c r="K26" s="19"/>
      <c r="L26" s="18"/>
      <c r="M26" s="19"/>
      <c r="N26" s="19"/>
      <c r="O26" s="20"/>
    </row>
    <row r="27" spans="1:15">
      <c r="A27" s="17" t="s">
        <v>46</v>
      </c>
      <c r="B27" s="18">
        <v>4</v>
      </c>
      <c r="C27" s="18">
        <v>1600</v>
      </c>
      <c r="D27" s="18">
        <v>6400</v>
      </c>
      <c r="E27" s="18">
        <v>1</v>
      </c>
      <c r="F27" s="18">
        <v>0.7</v>
      </c>
      <c r="G27" s="18">
        <v>0.8</v>
      </c>
      <c r="H27" s="18">
        <v>0.75</v>
      </c>
      <c r="I27" s="19">
        <v>4480</v>
      </c>
      <c r="J27" s="19">
        <v>3360</v>
      </c>
      <c r="K27" s="19">
        <f>Таблица13[[#This Row],[Сумма Рн, кВт]]*Таблица13[[#This Row],[Сумма Рн, кВт]]/((1600*1600)*4)</f>
        <v>4</v>
      </c>
      <c r="L27" s="18">
        <v>1</v>
      </c>
      <c r="M27" s="19">
        <f>Таблица13[[#This Row],[Рсм, кВт]]</f>
        <v>4480</v>
      </c>
      <c r="N27" s="19">
        <f>1.1*Таблица13[[#This Row],[Qсм, квар]]</f>
        <v>3696.0000000000005</v>
      </c>
      <c r="O27" s="20">
        <f>SQRT(Таблица13[[#This Row],[Рр, кВт]]*Таблица13[[#This Row],[Рр, кВт]]+Таблица13[[#This Row],[Qр, квар]]*Таблица13[[#This Row],[Qр, квар]])</f>
        <v>5807.8236887839494</v>
      </c>
    </row>
    <row r="28" spans="1:15">
      <c r="A28" s="17" t="s">
        <v>44</v>
      </c>
      <c r="B28" s="18">
        <v>1</v>
      </c>
      <c r="C28" s="18">
        <v>380</v>
      </c>
      <c r="D28" s="18">
        <v>380</v>
      </c>
      <c r="E28" s="18">
        <v>1</v>
      </c>
      <c r="F28" s="18">
        <v>0.8</v>
      </c>
      <c r="G28" s="18">
        <v>0.88</v>
      </c>
      <c r="H28" s="18">
        <v>0.54</v>
      </c>
      <c r="I28" s="19">
        <f>Таблица13[[#This Row],[Ки]]*Таблица13[[#This Row],[Сумма Рн, кВт]]</f>
        <v>304</v>
      </c>
      <c r="J28" s="19">
        <f>Таблица13[[#This Row],[Рсм, кВт]]*Таблица13[[#This Row],[tgy]]</f>
        <v>164.16000000000003</v>
      </c>
      <c r="K28" s="19"/>
      <c r="L28" s="18"/>
      <c r="M28" s="19"/>
      <c r="N28" s="19"/>
      <c r="O28" s="20"/>
    </row>
    <row r="29" spans="1:15">
      <c r="A29" s="17" t="s">
        <v>47</v>
      </c>
      <c r="B29" s="18">
        <v>1</v>
      </c>
      <c r="C29" s="18">
        <v>380</v>
      </c>
      <c r="D29" s="18">
        <v>380</v>
      </c>
      <c r="E29" s="18">
        <v>1</v>
      </c>
      <c r="F29" s="18">
        <v>0.8</v>
      </c>
      <c r="G29" s="18">
        <v>0.88</v>
      </c>
      <c r="H29" s="18">
        <v>0.54</v>
      </c>
      <c r="I29" s="19">
        <v>304</v>
      </c>
      <c r="J29" s="19">
        <v>164.16</v>
      </c>
      <c r="K29" s="19">
        <v>1</v>
      </c>
      <c r="L29" s="18">
        <v>1</v>
      </c>
      <c r="M29" s="19">
        <f>Таблица13[[#This Row],[Рсм, кВт]]</f>
        <v>304</v>
      </c>
      <c r="N29" s="19">
        <f>1.1*Таблица13[[#This Row],[Qсм, квар]]</f>
        <v>180.57600000000002</v>
      </c>
      <c r="O29" s="20">
        <f>SQRT(Таблица13[[#This Row],[Рр, кВт]]*Таблица13[[#This Row],[Рр, кВт]]+Таблица13[[#This Row],[Qр, квар]]*Таблица13[[#This Row],[Qр, квар]])</f>
        <v>353.58689423676327</v>
      </c>
    </row>
    <row r="30" spans="1:15">
      <c r="A30" s="17" t="s">
        <v>45</v>
      </c>
      <c r="B30" s="18">
        <f>B27+B29</f>
        <v>5</v>
      </c>
      <c r="C30" s="18" t="s">
        <v>57</v>
      </c>
      <c r="D30" s="18">
        <f>D27+D29</f>
        <v>6780</v>
      </c>
      <c r="E30" s="18">
        <f>1600/380</f>
        <v>4.2105263157894735</v>
      </c>
      <c r="F30" s="18">
        <f>Таблица13[[#This Row],[Рсм, кВт]]/Таблица13[[#This Row],[Сумма Рн, кВт]]</f>
        <v>0.70560471976401185</v>
      </c>
      <c r="G30" s="18">
        <v>0.80500000000000005</v>
      </c>
      <c r="H30" s="18">
        <f>Таблица13[[#This Row],[Qсм, квар]]/Таблица13[[#This Row],[Рсм, кВт]]</f>
        <v>0.73665551839464882</v>
      </c>
      <c r="I30" s="19">
        <f>I27+I29</f>
        <v>4784</v>
      </c>
      <c r="J30" s="19">
        <f>J27+J29</f>
        <v>3524.16</v>
      </c>
      <c r="K30" s="19"/>
      <c r="L30" s="18"/>
      <c r="M30" s="19">
        <f>M27+M29</f>
        <v>4784</v>
      </c>
      <c r="N30" s="19">
        <f>N27+N29</f>
        <v>3876.5760000000005</v>
      </c>
      <c r="O30" s="20">
        <f>O27+O29</f>
        <v>6161.4105830207127</v>
      </c>
    </row>
    <row r="31" spans="1:15">
      <c r="A31" s="17"/>
      <c r="B31" s="18"/>
      <c r="C31" s="18"/>
      <c r="D31" s="18"/>
      <c r="E31" s="18"/>
      <c r="F31" s="18"/>
      <c r="G31" s="18"/>
      <c r="H31" s="18"/>
      <c r="I31" s="19"/>
      <c r="J31" s="19"/>
      <c r="K31" s="19"/>
      <c r="L31" s="18"/>
      <c r="M31" s="19"/>
      <c r="N31" s="19"/>
      <c r="O31" s="20"/>
    </row>
    <row r="32" spans="1:15">
      <c r="A32" s="17" t="s">
        <v>48</v>
      </c>
      <c r="B32" s="18"/>
      <c r="C32" s="18"/>
      <c r="D32" s="18"/>
      <c r="E32" s="18"/>
      <c r="F32" s="18"/>
      <c r="G32" s="18"/>
      <c r="H32" s="18"/>
      <c r="I32" s="19"/>
      <c r="J32" s="19"/>
      <c r="K32" s="19"/>
      <c r="L32" s="18"/>
      <c r="M32" s="19"/>
      <c r="N32" s="19"/>
      <c r="O32" s="20"/>
    </row>
    <row r="33" spans="1:15">
      <c r="A33" s="17" t="s">
        <v>49</v>
      </c>
      <c r="B33" s="18">
        <v>17</v>
      </c>
      <c r="C33" s="18">
        <v>75</v>
      </c>
      <c r="D33" s="18">
        <f>75*17</f>
        <v>1275</v>
      </c>
      <c r="E33" s="18">
        <v>1</v>
      </c>
      <c r="F33" s="18">
        <v>0.85</v>
      </c>
      <c r="G33" s="18">
        <v>0.85</v>
      </c>
      <c r="H33" s="18">
        <v>0.62</v>
      </c>
      <c r="I33" s="19">
        <f>Таблица13[[#This Row],[Ки]]*Таблица13[[#This Row],[Сумма Рн, кВт]]</f>
        <v>1083.75</v>
      </c>
      <c r="J33" s="19">
        <f>Таблица13[[#This Row],[Рсм, кВт]]*Таблица13[[#This Row],[tgy]]</f>
        <v>671.92499999999995</v>
      </c>
      <c r="K33" s="19"/>
      <c r="L33" s="18"/>
      <c r="M33" s="19"/>
      <c r="N33" s="19"/>
      <c r="O33" s="20"/>
    </row>
    <row r="34" spans="1:15">
      <c r="A34" s="17" t="s">
        <v>50</v>
      </c>
      <c r="B34" s="18">
        <v>3</v>
      </c>
      <c r="C34" s="18">
        <v>21</v>
      </c>
      <c r="D34" s="18">
        <f>3*21</f>
        <v>63</v>
      </c>
      <c r="E34" s="18">
        <v>1</v>
      </c>
      <c r="F34" s="18">
        <v>0.75</v>
      </c>
      <c r="G34" s="18">
        <v>0.75</v>
      </c>
      <c r="H34" s="18">
        <v>0.88200000000000001</v>
      </c>
      <c r="I34" s="19">
        <f>Таблица13[[#This Row],[Ки]]*Таблица13[[#This Row],[Сумма Рн, кВт]]</f>
        <v>47.25</v>
      </c>
      <c r="J34" s="19">
        <f>Таблица13[[#This Row],[Рсм, кВт]]*Таблица13[[#This Row],[tgy]]</f>
        <v>41.674500000000002</v>
      </c>
      <c r="K34" s="19"/>
      <c r="L34" s="18"/>
      <c r="M34" s="19"/>
      <c r="N34" s="19"/>
      <c r="O34" s="20"/>
    </row>
    <row r="35" spans="1:15">
      <c r="A35" s="17" t="s">
        <v>20</v>
      </c>
      <c r="B35" s="18">
        <v>2</v>
      </c>
      <c r="C35" s="18">
        <v>25.3</v>
      </c>
      <c r="D35" s="18">
        <v>50.6</v>
      </c>
      <c r="E35" s="18">
        <v>1</v>
      </c>
      <c r="F35" s="18">
        <v>0.2</v>
      </c>
      <c r="G35" s="18">
        <v>0.5</v>
      </c>
      <c r="H35" s="18">
        <v>1.73</v>
      </c>
      <c r="I35" s="19">
        <f>Таблица13[[#This Row],[Ки]]*Таблица13[[#This Row],[Сумма Рн, кВт]]</f>
        <v>10.120000000000001</v>
      </c>
      <c r="J35" s="19">
        <f>Таблица13[[#This Row],[Рсм, кВт]]*Таблица13[[#This Row],[tgy]]</f>
        <v>17.5076</v>
      </c>
      <c r="K35" s="19"/>
      <c r="L35" s="18"/>
      <c r="M35" s="19"/>
      <c r="N35" s="19"/>
      <c r="O35" s="20"/>
    </row>
    <row r="36" spans="1:15">
      <c r="A36" s="17" t="s">
        <v>18</v>
      </c>
      <c r="B36" s="18">
        <v>5</v>
      </c>
      <c r="C36" s="18">
        <v>21</v>
      </c>
      <c r="D36" s="18">
        <f>5*21</f>
        <v>105</v>
      </c>
      <c r="E36" s="18">
        <v>1</v>
      </c>
      <c r="F36" s="18">
        <v>0.7</v>
      </c>
      <c r="G36" s="18">
        <v>0.8</v>
      </c>
      <c r="H36" s="18">
        <v>0.75</v>
      </c>
      <c r="I36" s="19">
        <f>Таблица13[[#This Row],[Ки]]*Таблица13[[#This Row],[Сумма Рн, кВт]]</f>
        <v>73.5</v>
      </c>
      <c r="J36" s="19">
        <f>Таблица13[[#This Row],[Рсм, кВт]]*Таблица13[[#This Row],[tgy]]</f>
        <v>55.125</v>
      </c>
      <c r="K36" s="19"/>
      <c r="L36" s="18"/>
      <c r="M36" s="19"/>
      <c r="N36" s="19"/>
      <c r="O36" s="20"/>
    </row>
    <row r="37" spans="1:15">
      <c r="A37" s="17" t="s">
        <v>51</v>
      </c>
      <c r="B37" s="18">
        <f>B33+B34+B35+B36</f>
        <v>27</v>
      </c>
      <c r="C37" s="18" t="s">
        <v>28</v>
      </c>
      <c r="D37" s="18">
        <f>D33+D34+D35+D36</f>
        <v>1493.6</v>
      </c>
      <c r="E37" s="18">
        <f>75/21</f>
        <v>3.5714285714285716</v>
      </c>
      <c r="F37" s="18">
        <f>Таблица13[[#This Row],[Рсм, кВт]]/Таблица13[[#This Row],[Сумма Рн, кВт]]</f>
        <v>0.8132163899303696</v>
      </c>
      <c r="G37" s="18">
        <v>0.84</v>
      </c>
      <c r="H37" s="18">
        <f>Таблица13[[#This Row],[Qсм, квар]]/Таблица13[[#This Row],[Рсм, кВт]]</f>
        <v>0.64730705899787588</v>
      </c>
      <c r="I37" s="19">
        <f>I33+I34+I35+I36</f>
        <v>1214.6199999999999</v>
      </c>
      <c r="J37" s="19">
        <f>J33+J34+J35+J36</f>
        <v>786.23209999999995</v>
      </c>
      <c r="K37" s="19">
        <v>27</v>
      </c>
      <c r="L37" s="18">
        <v>1</v>
      </c>
      <c r="M37" s="19">
        <f>Таблица13[[#This Row],[Рсм, кВт]]</f>
        <v>1214.6199999999999</v>
      </c>
      <c r="N37" s="19">
        <f>Таблица13[[#This Row],[Qсм, квар]]</f>
        <v>786.23209999999995</v>
      </c>
      <c r="O37" s="20">
        <f>SQRT(Таблица13[[#This Row],[Рр, кВт]]*Таблица13[[#This Row],[Рр, кВт]]+Таблица13[[#This Row],[Qр, квар]]*Таблица13[[#This Row],[Qр, квар]])</f>
        <v>1446.8803196776191</v>
      </c>
    </row>
    <row r="38" spans="1:15">
      <c r="A38" s="17"/>
      <c r="B38" s="18"/>
      <c r="C38" s="18"/>
      <c r="D38" s="18"/>
      <c r="E38" s="18"/>
      <c r="F38" s="18"/>
      <c r="G38" s="18"/>
      <c r="H38" s="18"/>
      <c r="I38" s="19"/>
      <c r="J38" s="19"/>
      <c r="K38" s="19"/>
      <c r="L38" s="18"/>
      <c r="M38" s="19"/>
      <c r="N38" s="19"/>
      <c r="O38" s="20"/>
    </row>
    <row r="39" spans="1:15">
      <c r="A39" s="17" t="s">
        <v>52</v>
      </c>
      <c r="B39" s="18"/>
      <c r="C39" s="18"/>
      <c r="D39" s="18"/>
      <c r="E39" s="18"/>
      <c r="F39" s="18"/>
      <c r="G39" s="18"/>
      <c r="H39" s="18"/>
      <c r="I39" s="19"/>
      <c r="J39" s="19"/>
      <c r="K39" s="19"/>
      <c r="L39" s="18"/>
      <c r="M39" s="19"/>
      <c r="N39" s="19"/>
      <c r="O39" s="20"/>
    </row>
    <row r="40" spans="1:15">
      <c r="A40" s="17" t="s">
        <v>27</v>
      </c>
      <c r="B40" s="18">
        <v>7</v>
      </c>
      <c r="C40" s="18" t="s">
        <v>23</v>
      </c>
      <c r="D40" s="18">
        <f>4*18.97+3*13.9</f>
        <v>117.58</v>
      </c>
      <c r="E40" s="18">
        <f>18.97/13.9</f>
        <v>1.3647482014388488</v>
      </c>
      <c r="F40" s="18">
        <v>0.2</v>
      </c>
      <c r="G40" s="18">
        <v>0.4</v>
      </c>
      <c r="H40" s="18">
        <v>2.29</v>
      </c>
      <c r="I40" s="19">
        <f>Таблица13[[#This Row],[Ки]]*Таблица13[[#This Row],[Сумма Рн, кВт]]</f>
        <v>23.516000000000002</v>
      </c>
      <c r="J40" s="19">
        <f>Таблица13[[#This Row],[Рсм, кВт]]*Таблица13[[#This Row],[tgy]]</f>
        <v>53.851640000000003</v>
      </c>
      <c r="K40" s="19"/>
      <c r="L40" s="18"/>
      <c r="M40" s="19"/>
      <c r="N40" s="19"/>
      <c r="O40" s="20"/>
    </row>
    <row r="41" spans="1:15">
      <c r="A41" s="17" t="s">
        <v>53</v>
      </c>
      <c r="B41" s="18">
        <v>10</v>
      </c>
      <c r="C41" s="18">
        <f>300*0.65</f>
        <v>195</v>
      </c>
      <c r="D41" s="18">
        <f>195*10</f>
        <v>1950</v>
      </c>
      <c r="E41" s="18">
        <v>1</v>
      </c>
      <c r="F41" s="18">
        <v>0.2</v>
      </c>
      <c r="G41" s="18">
        <v>0.4</v>
      </c>
      <c r="H41" s="18">
        <v>2.29</v>
      </c>
      <c r="I41" s="19">
        <f>Таблица13[[#This Row],[Ки]]*Таблица13[[#This Row],[Сумма Рн, кВт]]</f>
        <v>390</v>
      </c>
      <c r="J41" s="19">
        <f>Таблица13[[#This Row],[Рсм, кВт]]*Таблица13[[#This Row],[tgy]]</f>
        <v>893.1</v>
      </c>
      <c r="K41" s="19"/>
      <c r="L41" s="18"/>
      <c r="M41" s="19"/>
      <c r="N41" s="19"/>
      <c r="O41" s="20"/>
    </row>
    <row r="42" spans="1:15">
      <c r="A42" s="17" t="s">
        <v>20</v>
      </c>
      <c r="B42" s="18">
        <v>2</v>
      </c>
      <c r="C42" s="18">
        <v>31.62</v>
      </c>
      <c r="D42" s="18">
        <f>31.62*2</f>
        <v>63.24</v>
      </c>
      <c r="E42" s="18">
        <v>1</v>
      </c>
      <c r="F42" s="18">
        <v>0.2</v>
      </c>
      <c r="G42" s="18">
        <v>0.5</v>
      </c>
      <c r="H42" s="18">
        <v>1.73</v>
      </c>
      <c r="I42" s="19">
        <f>Таблица13[[#This Row],[Ки]]*Таблица13[[#This Row],[Сумма Рн, кВт]]</f>
        <v>12.648000000000001</v>
      </c>
      <c r="J42" s="19">
        <f>Таблица13[[#This Row],[Рсм, кВт]]*Таблица13[[#This Row],[tgy]]</f>
        <v>21.881040000000002</v>
      </c>
      <c r="K42" s="19"/>
      <c r="L42" s="18"/>
      <c r="M42" s="19"/>
      <c r="N42" s="19"/>
      <c r="O42" s="20"/>
    </row>
    <row r="43" spans="1:15">
      <c r="A43" s="17" t="s">
        <v>18</v>
      </c>
      <c r="B43" s="18">
        <v>5</v>
      </c>
      <c r="C43" s="18" t="s">
        <v>54</v>
      </c>
      <c r="D43" s="18">
        <f>3*17+2*55</f>
        <v>161</v>
      </c>
      <c r="E43" s="18">
        <f>55/17</f>
        <v>3.2352941176470589</v>
      </c>
      <c r="F43" s="18">
        <v>0.7</v>
      </c>
      <c r="G43" s="18">
        <v>0.8</v>
      </c>
      <c r="H43" s="18">
        <v>0.75</v>
      </c>
      <c r="I43" s="19">
        <f>Таблица13[[#This Row],[Ки]]*Таблица13[[#This Row],[Сумма Рн, кВт]]</f>
        <v>112.69999999999999</v>
      </c>
      <c r="J43" s="19">
        <f>Таблица13[[#This Row],[Рсм, кВт]]*Таблица13[[#This Row],[tgy]]</f>
        <v>84.524999999999991</v>
      </c>
      <c r="K43" s="19"/>
      <c r="L43" s="18"/>
      <c r="M43" s="19"/>
      <c r="N43" s="19"/>
      <c r="O43" s="20"/>
    </row>
    <row r="44" spans="1:15">
      <c r="A44" s="17" t="s">
        <v>55</v>
      </c>
      <c r="B44" s="18">
        <f>B40+B41+B42+B43</f>
        <v>24</v>
      </c>
      <c r="C44" s="18" t="s">
        <v>56</v>
      </c>
      <c r="D44" s="18">
        <f>D40+D41+D42+D43</f>
        <v>2291.8199999999997</v>
      </c>
      <c r="E44" s="18">
        <f>195/13.9</f>
        <v>14.028776978417266</v>
      </c>
      <c r="F44" s="18">
        <f>Таблица13[[#This Row],[Рсм, кВт]]/Таблица13[[#This Row],[Сумма Рн, кВт]]</f>
        <v>0.23512492255063666</v>
      </c>
      <c r="G44" s="18">
        <v>0.45500000000000002</v>
      </c>
      <c r="H44" s="18">
        <f>Таблица13[[#This Row],[Qсм, квар]]/Таблица13[[#This Row],[Рсм, кВт]]</f>
        <v>1.9547746370141632</v>
      </c>
      <c r="I44" s="19">
        <f>I40+I41+I42+I43</f>
        <v>538.86400000000003</v>
      </c>
      <c r="J44" s="19">
        <f>J40+J41+J42+J43</f>
        <v>1053.3576800000001</v>
      </c>
      <c r="K44" s="19">
        <v>24</v>
      </c>
      <c r="L44" s="18">
        <v>1.1100000000000001</v>
      </c>
      <c r="M44" s="19">
        <f>Таблица13[[#This Row],[Кр(Ко)]]*Таблица13[[#This Row],[Рсм, кВт]]</f>
        <v>598.13904000000014</v>
      </c>
      <c r="N44" s="19">
        <f>Таблица13[[#This Row],[Qсм, квар]]</f>
        <v>1053.3576800000001</v>
      </c>
      <c r="O44" s="20">
        <f>SQRT(Таблица13[[#This Row],[Рр, кВт]]*Таблица13[[#This Row],[Рр, кВт]]+Таблица13[[#This Row],[Qр, квар]]*Таблица13[[#This Row],[Qр, квар]])</f>
        <v>1211.3350953337001</v>
      </c>
    </row>
    <row r="45" spans="1:15">
      <c r="A45" s="17"/>
      <c r="B45" s="18"/>
      <c r="C45" s="18"/>
      <c r="D45" s="18"/>
      <c r="E45" s="18"/>
      <c r="F45" s="18"/>
      <c r="G45" s="18"/>
      <c r="H45" s="18"/>
      <c r="I45" s="19"/>
      <c r="J45" s="19"/>
      <c r="K45" s="19"/>
      <c r="L45" s="18"/>
      <c r="M45" s="19"/>
      <c r="N45" s="19"/>
      <c r="O45" s="20"/>
    </row>
    <row r="46" spans="1:15">
      <c r="A46" s="21" t="s">
        <v>58</v>
      </c>
      <c r="B46" s="22">
        <f>B7+B16+B23+B30+B37+B44</f>
        <v>186</v>
      </c>
      <c r="C46" s="22" t="s">
        <v>59</v>
      </c>
      <c r="D46" s="22">
        <f>D7+D16+D23+D30+D37+D44</f>
        <v>20876.039999999997</v>
      </c>
      <c r="E46" s="22">
        <f>1600/7.5</f>
        <v>213.33333333333334</v>
      </c>
      <c r="F46" s="22">
        <f>Таблица13[[#This Row],[Рсм, кВт]]/Таблица13[[#This Row],[Сумма Рн, кВт]]</f>
        <v>0.55928748938975026</v>
      </c>
      <c r="G46" s="22">
        <v>0.73499999999999999</v>
      </c>
      <c r="H46" s="22">
        <f>Таблица13[[#This Row],[Qсм, квар]]/Таблица13[[#This Row],[Рсм, кВт]]</f>
        <v>0.92157413494753382</v>
      </c>
      <c r="I46" s="23">
        <f>I7+I16+I23+I30+I37+I44</f>
        <v>11675.708000000001</v>
      </c>
      <c r="J46" s="23">
        <f>J7+J16+J23+J30+J37+J44</f>
        <v>10760.030500000001</v>
      </c>
      <c r="K46" s="23"/>
      <c r="L46" s="22"/>
      <c r="M46" s="23">
        <f>M7+M16+M23+M30+M37+M44</f>
        <v>11734.983040000001</v>
      </c>
      <c r="N46" s="23">
        <f>N7+N16+N23+N30+N37+N44</f>
        <v>11112.446500000002</v>
      </c>
      <c r="O46" s="24">
        <f>O7+O16+O23+O30+O37+O44</f>
        <v>16323.008706492461</v>
      </c>
    </row>
  </sheetData>
  <pageMargins left="0.7" right="0.7" top="0.75" bottom="0.75" header="0.3" footer="0.3"/>
  <pageSetup paperSize="9" orientation="portrait" horizontalDpi="180" verticalDpi="18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2009-11-24T09:54:49Z</dcterms:modified>
</cp:coreProperties>
</file>